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210" windowWidth="12120" windowHeight="9120" activeTab="2"/>
  </bookViews>
  <sheets>
    <sheet name="CPL" sheetId="1" r:id="rId1"/>
    <sheet name="CPL(2)" sheetId="2" r:id="rId2"/>
    <sheet name="CBS" sheetId="3" r:id="rId3"/>
    <sheet name="CCIE" sheetId="4" r:id="rId4"/>
    <sheet name="CCF" sheetId="5" r:id="rId5"/>
  </sheets>
  <definedNames/>
  <calcPr fullCalcOnLoad="1"/>
</workbook>
</file>

<file path=xl/sharedStrings.xml><?xml version="1.0" encoding="utf-8"?>
<sst xmlns="http://schemas.openxmlformats.org/spreadsheetml/2006/main" count="223" uniqueCount="142">
  <si>
    <t>CONDENSED CONSOLIDATED INCOME STATEMENTS</t>
  </si>
  <si>
    <t>Part A2 : SUMMARY OF KEY FINANCIAL INFORMATION</t>
  </si>
  <si>
    <t>INDIVIDUAL QUARTER</t>
  </si>
  <si>
    <t>CUMULATIVE QUARTER</t>
  </si>
  <si>
    <t>CURRENT YEAR</t>
  </si>
  <si>
    <t>PRECEDING YEAR</t>
  </si>
  <si>
    <t>CORRESPONDING</t>
  </si>
  <si>
    <t>QUARTER</t>
  </si>
  <si>
    <t>PERIOD</t>
  </si>
  <si>
    <t>RM'000</t>
  </si>
  <si>
    <t>Revenue</t>
  </si>
  <si>
    <t>Profit/(Loss) before tax</t>
  </si>
  <si>
    <t xml:space="preserve">Profit /(loss) after tax and </t>
  </si>
  <si>
    <t>minority interest</t>
  </si>
  <si>
    <t xml:space="preserve">Net profit/(loss) for the </t>
  </si>
  <si>
    <t>period</t>
  </si>
  <si>
    <t xml:space="preserve">Basic earning/(loss) per </t>
  </si>
  <si>
    <t>share (sen)</t>
  </si>
  <si>
    <t>AS AT END OF CURRENT QUARTER*</t>
  </si>
  <si>
    <t>AS AT PRECEDING FINANCIAL YEAR</t>
  </si>
  <si>
    <t>END</t>
  </si>
  <si>
    <t xml:space="preserve">Net tangible assets per </t>
  </si>
  <si>
    <t>share (RM)</t>
  </si>
  <si>
    <t>Part A3 : ADDITIONAL INFORMATION</t>
  </si>
  <si>
    <t>Profit/(Loss) from operation</t>
  </si>
  <si>
    <t>Gross interest income</t>
  </si>
  <si>
    <t>Gross interest expense</t>
  </si>
  <si>
    <t>Operating Expenses</t>
  </si>
  <si>
    <t>Other Operating Income</t>
  </si>
  <si>
    <t>Profit/(loss) before tax</t>
  </si>
  <si>
    <t>Taxation</t>
  </si>
  <si>
    <t>Profit/(Loss) after tax</t>
  </si>
  <si>
    <t>Minority Interest</t>
  </si>
  <si>
    <t>Net Profit/(Loss) for the period</t>
  </si>
  <si>
    <t>- basic (sen)</t>
  </si>
  <si>
    <t>- diluted (sen)</t>
  </si>
  <si>
    <t>Dividend per share (sen)</t>
  </si>
  <si>
    <t xml:space="preserve">AS AT PRECEDING FINANCIAL YEAR </t>
  </si>
  <si>
    <t>Net tangible assets per share</t>
  </si>
  <si>
    <t>(RM)</t>
  </si>
  <si>
    <t>CONDENSED CONSOLIDATED BALANCE SHEET</t>
  </si>
  <si>
    <t>As at</t>
  </si>
  <si>
    <t>Property, plant and equipment</t>
  </si>
  <si>
    <t>Current Assets</t>
  </si>
  <si>
    <t>Inventories</t>
  </si>
  <si>
    <t>Receivables</t>
  </si>
  <si>
    <t>Current Liabilities</t>
  </si>
  <si>
    <t>Net Current Assets</t>
  </si>
  <si>
    <t>Share capital</t>
  </si>
  <si>
    <t>Share premium</t>
  </si>
  <si>
    <t>Reserves</t>
  </si>
  <si>
    <t>Merger deficit</t>
  </si>
  <si>
    <t>Shareholders' Fund</t>
  </si>
  <si>
    <t>Minority interests</t>
  </si>
  <si>
    <t>Long term liabilities</t>
  </si>
  <si>
    <t>As at preceding</t>
  </si>
  <si>
    <t>financial year end</t>
  </si>
  <si>
    <t>Net tangible assets per share (RM)</t>
  </si>
  <si>
    <t>CONDENSED CONSOLIDATED CASH FLOW STATEMENTS</t>
  </si>
  <si>
    <t>Non-cash items</t>
  </si>
  <si>
    <t>Non-operating items</t>
  </si>
  <si>
    <t>Changes in working capital</t>
  </si>
  <si>
    <t>Tax paid</t>
  </si>
  <si>
    <t>Interest paid</t>
  </si>
  <si>
    <t>Interest received</t>
  </si>
  <si>
    <t>Cash and bank balance</t>
  </si>
  <si>
    <t xml:space="preserve">CONDENSED CONSOLIDATED STATEMENTS OF CHANGES IN EQUITY </t>
  </si>
  <si>
    <t>Share Capital</t>
  </si>
  <si>
    <t>Total</t>
  </si>
  <si>
    <t>Accumulated loss</t>
  </si>
  <si>
    <t>Warrants</t>
  </si>
  <si>
    <t>Distributable</t>
  </si>
  <si>
    <t>Non-distributable</t>
  </si>
  <si>
    <t>Payables</t>
  </si>
  <si>
    <t>Short term borrowings</t>
  </si>
  <si>
    <t>As restated</t>
  </si>
  <si>
    <t>N/A</t>
  </si>
  <si>
    <t>31.3.2004</t>
  </si>
  <si>
    <t xml:space="preserve"> Audited</t>
  </si>
  <si>
    <t>Net profit / (loss) before tax</t>
  </si>
  <si>
    <t>[30/09/2004]</t>
  </si>
  <si>
    <t>[30/09/2003]</t>
  </si>
  <si>
    <t>AS AT 30 SEPTEMBER 2004</t>
  </si>
  <si>
    <t>30.09.2004</t>
  </si>
  <si>
    <t xml:space="preserve">As at end of </t>
  </si>
  <si>
    <t>current quarter</t>
  </si>
  <si>
    <t>Net profit for the period</t>
  </si>
  <si>
    <t>Balance as at 30 September 2003</t>
  </si>
  <si>
    <t>Net loss for the period</t>
  </si>
  <si>
    <t>Finance costs, net</t>
  </si>
  <si>
    <t>Goodwill on consolidation</t>
  </si>
  <si>
    <t>Deferred tax assets (net)</t>
  </si>
  <si>
    <t>Capital reserve</t>
  </si>
  <si>
    <t>Accumulated losses</t>
  </si>
  <si>
    <t>Advance from a director and shareholder</t>
  </si>
  <si>
    <t>At 1 April 2003</t>
  </si>
  <si>
    <t>As previously stated</t>
  </si>
  <si>
    <t>Prior year adjustments</t>
  </si>
  <si>
    <t>Issue of new ordinary shares on conversion of ICULS at RM1.50 each</t>
  </si>
  <si>
    <t>At 1 April 2004</t>
  </si>
  <si>
    <t>At 30 September 2004</t>
  </si>
  <si>
    <t>ICULS - Equity Conversion Component</t>
  </si>
  <si>
    <t>Financed by :</t>
  </si>
  <si>
    <t xml:space="preserve">QUARTER </t>
  </si>
  <si>
    <t xml:space="preserve">TO DATE </t>
  </si>
  <si>
    <t>Earnings/(loss) per share :</t>
  </si>
  <si>
    <t>Deposit, cash and bank balances</t>
  </si>
  <si>
    <t>30.9.2003</t>
  </si>
  <si>
    <t>30.9.2004</t>
  </si>
  <si>
    <t>As at 30.09.2004</t>
  </si>
  <si>
    <t>As at 30.09.2003</t>
  </si>
  <si>
    <t>Cash Flow from Operating Activities</t>
  </si>
  <si>
    <t>Adjustment for :-</t>
  </si>
  <si>
    <t>Cash flow from financing activities</t>
  </si>
  <si>
    <t>Proceeds from issuance of share capital</t>
  </si>
  <si>
    <t>Net increase / (decrease) in cash and cash equivalents</t>
  </si>
  <si>
    <t>Cash and cash equivalents at beginning of the period</t>
  </si>
  <si>
    <t>Cash and cash equivalents at end of the period</t>
  </si>
  <si>
    <t>Less: Pledged deposits with licensed banks</t>
  </si>
  <si>
    <t>Less : Bank overdraft</t>
  </si>
  <si>
    <t>Proceeds from borrowings</t>
  </si>
  <si>
    <t>Repayment of borrowings</t>
  </si>
  <si>
    <t>Repayment of liability portion of ICULS</t>
  </si>
  <si>
    <t xml:space="preserve">Cash and cash equivalents at end of the financial period comprise the following: </t>
  </si>
  <si>
    <t>DATAPREP HOLDINGS BHD  (Company No. : 183059-H)</t>
  </si>
  <si>
    <t>Long term borrowings</t>
  </si>
  <si>
    <t>Net cash flows used in operating activities</t>
  </si>
  <si>
    <t>Net cash flow used in investing activities</t>
  </si>
  <si>
    <t>Increase in restricted deposits</t>
  </si>
  <si>
    <t>Irredeemable convertible unsecured loan stocks ("ICULS")</t>
  </si>
  <si>
    <t>ICULS - Equity component</t>
  </si>
  <si>
    <t>ICULS</t>
  </si>
  <si>
    <t>AS AT END OF CURRENT QUARTER</t>
  </si>
  <si>
    <t xml:space="preserve">Deposits with licensed banks </t>
  </si>
  <si>
    <t>Net cash flow generated from / (used in) financing activities</t>
  </si>
  <si>
    <t>Deposits, Cash and Bank Balances as per balance sheet</t>
  </si>
  <si>
    <t>FOR THE 2ND QUARTER AND HALF YEAR ENDED 30 SEPTEMBER 2004</t>
  </si>
  <si>
    <t>FOR THE HALF YEAR ENDED 30 SEPTEMBER 2004</t>
  </si>
  <si>
    <t>Half year ended</t>
  </si>
  <si>
    <t>Operating profit / (loss) before working capital change</t>
  </si>
  <si>
    <t>Audited</t>
  </si>
  <si>
    <t>Cash used in operations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</si>
</sst>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Red]\-#,##0\ "/>
    <numFmt numFmtId="173" formatCode="0_ ;[Red]\-0\ "/>
    <numFmt numFmtId="174" formatCode="#,##0.00_ ;[Red]\-#,##0.00\ "/>
    <numFmt numFmtId="175" formatCode="_-* #,##0.0_-;\-* #,##0.0_-;_-* &quot;-&quot;??_-;_-@_-"/>
    <numFmt numFmtId="176" formatCode="_-* #,##0_-;\-* #,##0_-;_-* &quot;-&quot;??_-;_-@_-"/>
    <numFmt numFmtId="177" formatCode="#,##0;[Red]#,##0"/>
    <numFmt numFmtId="178" formatCode="0.0%"/>
    <numFmt numFmtId="179" formatCode="_-* #,##0.000_-;\-* #,##0.000_-;_-* &quot;-&quot;??_-;_-@_-"/>
    <numFmt numFmtId="180" formatCode="_(* #,##0.0_);_(* \(#,##0.0\);_(* &quot;-&quot;??_);_(@_)"/>
    <numFmt numFmtId="181" formatCode="_(* #,##0_);_(* \(#,##0\);_(* &quot;-&quot;??_);_(@_)"/>
    <numFmt numFmtId="182" formatCode="_(* #,##0.0_);_(* \(#,##0.0\);_(* &quot;-&quot;_);_(@_)"/>
    <numFmt numFmtId="183" formatCode="_(* #,##0.00_);_(* \(#,##0.00\);_(* &quot;-&quot;_);_(@_)"/>
  </numFmts>
  <fonts count="7">
    <font>
      <sz val="10"/>
      <name val="Arial"/>
      <family val="0"/>
    </font>
    <font>
      <b/>
      <sz val="10"/>
      <name val="Arial"/>
      <family val="2"/>
    </font>
    <font>
      <u val="single"/>
      <sz val="10"/>
      <name val="Arial"/>
      <family val="2"/>
    </font>
    <font>
      <u val="single"/>
      <sz val="10"/>
      <color indexed="12"/>
      <name val="Arial"/>
      <family val="0"/>
    </font>
    <font>
      <u val="single"/>
      <sz val="10"/>
      <color indexed="36"/>
      <name val="Arial"/>
      <family val="0"/>
    </font>
    <font>
      <sz val="8"/>
      <name val="Arial"/>
      <family val="0"/>
    </font>
    <font>
      <b/>
      <u val="single"/>
      <sz val="10"/>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1" fillId="0" borderId="0" xfId="0" applyFont="1" applyAlignment="1">
      <alignment/>
    </xf>
    <xf numFmtId="181" fontId="0" fillId="0" borderId="0" xfId="0" applyNumberFormat="1" applyAlignment="1">
      <alignment/>
    </xf>
    <xf numFmtId="181" fontId="0" fillId="0" borderId="0" xfId="15" applyNumberFormat="1" applyAlignment="1">
      <alignment/>
    </xf>
    <xf numFmtId="41" fontId="1" fillId="0" borderId="0" xfId="0" applyNumberFormat="1" applyFont="1" applyAlignment="1">
      <alignment/>
    </xf>
    <xf numFmtId="41" fontId="0" fillId="0" borderId="0" xfId="0" applyNumberFormat="1" applyAlignment="1">
      <alignment/>
    </xf>
    <xf numFmtId="41" fontId="1" fillId="0" borderId="0" xfId="0" applyNumberFormat="1" applyFont="1" applyAlignment="1">
      <alignment horizontal="center"/>
    </xf>
    <xf numFmtId="41" fontId="6" fillId="0" borderId="0" xfId="0" applyNumberFormat="1" applyFont="1" applyAlignment="1">
      <alignment horizontal="center"/>
    </xf>
    <xf numFmtId="41" fontId="0" fillId="0" borderId="0" xfId="0" applyNumberFormat="1" applyAlignment="1">
      <alignment/>
    </xf>
    <xf numFmtId="41" fontId="1" fillId="0" borderId="0" xfId="0" applyNumberFormat="1" applyFont="1" applyAlignment="1">
      <alignment wrapText="1"/>
    </xf>
    <xf numFmtId="41" fontId="1" fillId="0" borderId="0" xfId="0" applyNumberFormat="1" applyFont="1" applyAlignment="1">
      <alignment horizontal="center" wrapText="1"/>
    </xf>
    <xf numFmtId="41" fontId="2" fillId="0" borderId="0" xfId="0" applyNumberFormat="1" applyFont="1" applyAlignment="1">
      <alignment/>
    </xf>
    <xf numFmtId="41" fontId="0" fillId="0" borderId="0" xfId="15" applyNumberFormat="1" applyAlignment="1">
      <alignment/>
    </xf>
    <xf numFmtId="41" fontId="0" fillId="0" borderId="0" xfId="0" applyNumberFormat="1" applyAlignment="1">
      <alignment horizontal="center"/>
    </xf>
    <xf numFmtId="41" fontId="0" fillId="0" borderId="1" xfId="0" applyNumberFormat="1" applyBorder="1" applyAlignment="1">
      <alignment/>
    </xf>
    <xf numFmtId="41" fontId="0" fillId="0" borderId="1" xfId="15" applyNumberFormat="1" applyBorder="1" applyAlignment="1">
      <alignment/>
    </xf>
    <xf numFmtId="41" fontId="1" fillId="0" borderId="1" xfId="0" applyNumberFormat="1" applyFont="1" applyBorder="1" applyAlignment="1">
      <alignment/>
    </xf>
    <xf numFmtId="41" fontId="0" fillId="0" borderId="0" xfId="0" applyNumberFormat="1" applyAlignment="1">
      <alignment wrapText="1"/>
    </xf>
    <xf numFmtId="41" fontId="0" fillId="0" borderId="0" xfId="15" applyNumberFormat="1" applyAlignment="1">
      <alignment wrapText="1"/>
    </xf>
    <xf numFmtId="41" fontId="1" fillId="0" borderId="0" xfId="15" applyNumberFormat="1" applyFont="1" applyAlignment="1">
      <alignment wrapText="1"/>
    </xf>
    <xf numFmtId="41" fontId="1" fillId="0" borderId="2" xfId="0" applyNumberFormat="1" applyFont="1" applyBorder="1" applyAlignment="1">
      <alignment/>
    </xf>
    <xf numFmtId="41" fontId="1" fillId="0" borderId="2" xfId="15" applyNumberFormat="1" applyFont="1" applyBorder="1" applyAlignment="1">
      <alignment/>
    </xf>
    <xf numFmtId="41" fontId="0" fillId="0" borderId="3" xfId="0" applyNumberFormat="1" applyBorder="1" applyAlignment="1">
      <alignment/>
    </xf>
    <xf numFmtId="41" fontId="1" fillId="0" borderId="0" xfId="0" applyNumberFormat="1" applyFont="1" applyAlignment="1">
      <alignment horizontal="left"/>
    </xf>
    <xf numFmtId="41" fontId="0" fillId="0" borderId="0" xfId="0" applyNumberFormat="1" applyBorder="1" applyAlignment="1">
      <alignment horizontal="center"/>
    </xf>
    <xf numFmtId="41" fontId="0" fillId="0" borderId="4" xfId="0" applyNumberFormat="1" applyBorder="1" applyAlignment="1">
      <alignment/>
    </xf>
    <xf numFmtId="41" fontId="0" fillId="0" borderId="5" xfId="0" applyNumberFormat="1" applyBorder="1" applyAlignment="1">
      <alignment horizontal="center"/>
    </xf>
    <xf numFmtId="41" fontId="0" fillId="0" borderId="6" xfId="0" applyNumberFormat="1" applyBorder="1" applyAlignment="1">
      <alignment/>
    </xf>
    <xf numFmtId="41" fontId="0" fillId="0" borderId="7" xfId="0" applyNumberFormat="1" applyBorder="1" applyAlignment="1">
      <alignment horizontal="center"/>
    </xf>
    <xf numFmtId="41" fontId="0" fillId="0" borderId="8" xfId="0" applyNumberFormat="1" applyBorder="1" applyAlignment="1">
      <alignment horizontal="center"/>
    </xf>
    <xf numFmtId="41" fontId="0" fillId="0" borderId="9" xfId="0" applyNumberFormat="1" applyBorder="1" applyAlignment="1">
      <alignment horizontal="center"/>
    </xf>
    <xf numFmtId="41" fontId="0" fillId="0" borderId="9" xfId="0" applyNumberFormat="1" applyBorder="1" applyAlignment="1">
      <alignment/>
    </xf>
    <xf numFmtId="41" fontId="0" fillId="0" borderId="10" xfId="0" applyNumberFormat="1" applyBorder="1" applyAlignment="1">
      <alignment/>
    </xf>
    <xf numFmtId="41" fontId="0" fillId="0" borderId="11" xfId="0" applyNumberFormat="1" applyBorder="1" applyAlignment="1">
      <alignment horizontal="center"/>
    </xf>
    <xf numFmtId="41" fontId="0" fillId="0" borderId="12" xfId="0" applyNumberFormat="1" applyBorder="1" applyAlignment="1">
      <alignment horizontal="center"/>
    </xf>
    <xf numFmtId="41" fontId="0" fillId="0" borderId="9" xfId="0" applyNumberFormat="1" applyFill="1" applyBorder="1" applyAlignment="1">
      <alignment/>
    </xf>
    <xf numFmtId="181" fontId="0" fillId="0" borderId="4" xfId="0" applyNumberFormat="1" applyBorder="1" applyAlignment="1">
      <alignment horizontal="center"/>
    </xf>
    <xf numFmtId="41" fontId="0" fillId="0" borderId="0" xfId="0" applyNumberFormat="1" applyFill="1" applyAlignment="1">
      <alignment/>
    </xf>
    <xf numFmtId="41" fontId="0" fillId="0" borderId="6" xfId="16" applyNumberFormat="1" applyBorder="1" applyAlignment="1">
      <alignment/>
    </xf>
    <xf numFmtId="41" fontId="0" fillId="0" borderId="7" xfId="16" applyNumberFormat="1" applyBorder="1" applyAlignment="1">
      <alignment horizontal="center"/>
    </xf>
    <xf numFmtId="41" fontId="0" fillId="0" borderId="9" xfId="15" applyNumberFormat="1" applyFill="1" applyBorder="1" applyAlignment="1">
      <alignment horizontal="right"/>
    </xf>
    <xf numFmtId="41" fontId="0" fillId="0" borderId="12" xfId="0" applyNumberFormat="1" applyFill="1" applyBorder="1" applyAlignment="1">
      <alignment/>
    </xf>
    <xf numFmtId="41" fontId="0" fillId="0" borderId="1" xfId="0" applyNumberFormat="1" applyFill="1" applyBorder="1" applyAlignment="1">
      <alignment/>
    </xf>
    <xf numFmtId="41" fontId="0" fillId="0" borderId="12" xfId="0" applyNumberFormat="1" applyBorder="1" applyAlignment="1">
      <alignment/>
    </xf>
    <xf numFmtId="41" fontId="0" fillId="0" borderId="9" xfId="15" applyNumberFormat="1" applyFill="1" applyBorder="1" applyAlignment="1" quotePrefix="1">
      <alignment horizontal="right"/>
    </xf>
    <xf numFmtId="41" fontId="0" fillId="0" borderId="9" xfId="15" applyNumberFormat="1" applyBorder="1" applyAlignment="1" quotePrefix="1">
      <alignment horizontal="right"/>
    </xf>
    <xf numFmtId="41" fontId="0" fillId="0" borderId="9" xfId="0" applyNumberFormat="1" applyFill="1" applyBorder="1" applyAlignment="1" quotePrefix="1">
      <alignment horizontal="right"/>
    </xf>
    <xf numFmtId="41" fontId="0" fillId="0" borderId="8" xfId="0" applyNumberFormat="1" applyFill="1" applyBorder="1" applyAlignment="1">
      <alignment/>
    </xf>
    <xf numFmtId="41" fontId="0" fillId="0" borderId="8" xfId="0" applyNumberFormat="1" applyBorder="1" applyAlignment="1">
      <alignment/>
    </xf>
    <xf numFmtId="41" fontId="0" fillId="0" borderId="6" xfId="0" applyNumberFormat="1" applyBorder="1" applyAlignment="1" quotePrefix="1">
      <alignment/>
    </xf>
    <xf numFmtId="41" fontId="0" fillId="0" borderId="7" xfId="0" applyNumberFormat="1" applyBorder="1" applyAlignment="1" quotePrefix="1">
      <alignment horizontal="center"/>
    </xf>
    <xf numFmtId="41" fontId="0" fillId="0" borderId="0" xfId="0" applyNumberFormat="1" applyAlignment="1">
      <alignment horizontal="right"/>
    </xf>
    <xf numFmtId="181" fontId="1" fillId="0" borderId="0" xfId="0" applyNumberFormat="1" applyFont="1" applyAlignment="1">
      <alignment/>
    </xf>
    <xf numFmtId="181" fontId="0" fillId="0" borderId="0" xfId="0" applyNumberFormat="1" applyBorder="1" applyAlignment="1">
      <alignment/>
    </xf>
    <xf numFmtId="181" fontId="1" fillId="0" borderId="0" xfId="0" applyNumberFormat="1" applyFont="1" applyAlignment="1">
      <alignment horizontal="center"/>
    </xf>
    <xf numFmtId="181" fontId="0" fillId="0" borderId="0" xfId="0" applyNumberFormat="1" applyBorder="1" applyAlignment="1">
      <alignment horizontal="center"/>
    </xf>
    <xf numFmtId="181" fontId="0" fillId="0" borderId="1" xfId="0" applyNumberFormat="1" applyBorder="1" applyAlignment="1">
      <alignment/>
    </xf>
    <xf numFmtId="181" fontId="0" fillId="0" borderId="0" xfId="0" applyNumberFormat="1" applyAlignment="1">
      <alignment wrapText="1"/>
    </xf>
    <xf numFmtId="181" fontId="0" fillId="0" borderId="8" xfId="0" applyNumberFormat="1" applyBorder="1" applyAlignment="1">
      <alignment horizontal="center"/>
    </xf>
    <xf numFmtId="181" fontId="0" fillId="0" borderId="12" xfId="0" applyNumberFormat="1" applyBorder="1" applyAlignment="1">
      <alignment horizontal="center"/>
    </xf>
    <xf numFmtId="181" fontId="1" fillId="0" borderId="0" xfId="0" applyNumberFormat="1" applyFont="1" applyAlignment="1">
      <alignment wrapText="1"/>
    </xf>
    <xf numFmtId="181" fontId="0" fillId="0" borderId="0" xfId="0" applyNumberFormat="1" applyAlignment="1" quotePrefix="1">
      <alignment/>
    </xf>
    <xf numFmtId="181" fontId="1" fillId="0" borderId="2" xfId="0" applyNumberFormat="1" applyFont="1" applyBorder="1" applyAlignment="1">
      <alignment/>
    </xf>
    <xf numFmtId="181" fontId="1" fillId="0" borderId="0" xfId="0" applyNumberFormat="1" applyFont="1" applyBorder="1" applyAlignment="1">
      <alignment/>
    </xf>
    <xf numFmtId="181" fontId="1" fillId="0" borderId="3" xfId="0" applyNumberFormat="1" applyFont="1" applyBorder="1" applyAlignment="1">
      <alignment/>
    </xf>
    <xf numFmtId="181" fontId="1" fillId="0" borderId="1" xfId="0" applyNumberFormat="1" applyFont="1" applyBorder="1" applyAlignment="1">
      <alignment wrapText="1"/>
    </xf>
    <xf numFmtId="181" fontId="1" fillId="0" borderId="0" xfId="0" applyNumberFormat="1" applyFont="1" applyBorder="1" applyAlignment="1">
      <alignment wrapText="1"/>
    </xf>
    <xf numFmtId="0" fontId="0" fillId="0" borderId="0" xfId="0" applyFont="1" applyAlignment="1">
      <alignment/>
    </xf>
    <xf numFmtId="181" fontId="1" fillId="0" borderId="0" xfId="0" applyNumberFormat="1" applyFont="1" applyAlignment="1">
      <alignment horizontal="left"/>
    </xf>
    <xf numFmtId="181" fontId="0" fillId="0" borderId="13" xfId="0" applyNumberFormat="1" applyBorder="1" applyAlignment="1">
      <alignment/>
    </xf>
    <xf numFmtId="181" fontId="0" fillId="0" borderId="6" xfId="0" applyNumberFormat="1" applyBorder="1" applyAlignment="1">
      <alignment horizontal="center"/>
    </xf>
    <xf numFmtId="181" fontId="0" fillId="0" borderId="9" xfId="0" applyNumberFormat="1" applyBorder="1" applyAlignment="1">
      <alignment horizontal="center"/>
    </xf>
    <xf numFmtId="181" fontId="0" fillId="0" borderId="9" xfId="0" applyNumberFormat="1" applyBorder="1" applyAlignment="1">
      <alignment/>
    </xf>
    <xf numFmtId="181" fontId="0" fillId="0" borderId="10" xfId="0" applyNumberFormat="1" applyBorder="1" applyAlignment="1">
      <alignment horizontal="center"/>
    </xf>
    <xf numFmtId="181" fontId="0" fillId="0" borderId="14" xfId="0" applyNumberFormat="1" applyBorder="1" applyAlignment="1">
      <alignment horizontal="center"/>
    </xf>
    <xf numFmtId="181" fontId="0" fillId="0" borderId="14" xfId="0" applyNumberFormat="1" applyBorder="1" applyAlignment="1">
      <alignment/>
    </xf>
    <xf numFmtId="181" fontId="0" fillId="0" borderId="14" xfId="0" applyNumberFormat="1" applyBorder="1" applyAlignment="1" quotePrefix="1">
      <alignment horizontal="right"/>
    </xf>
    <xf numFmtId="181" fontId="0" fillId="0" borderId="4" xfId="0" applyNumberFormat="1" applyBorder="1" applyAlignment="1">
      <alignment/>
    </xf>
    <xf numFmtId="181" fontId="0" fillId="0" borderId="10" xfId="0" applyNumberFormat="1" applyBorder="1" applyAlignment="1">
      <alignment/>
    </xf>
    <xf numFmtId="181" fontId="0" fillId="0" borderId="8" xfId="0" applyNumberFormat="1" applyBorder="1" applyAlignment="1">
      <alignment/>
    </xf>
    <xf numFmtId="181" fontId="0" fillId="0" borderId="12" xfId="0" applyNumberFormat="1" applyBorder="1" applyAlignment="1">
      <alignment/>
    </xf>
    <xf numFmtId="181" fontId="0" fillId="0" borderId="15" xfId="0" applyNumberFormat="1" applyBorder="1" applyAlignment="1">
      <alignment horizontal="center"/>
    </xf>
    <xf numFmtId="181" fontId="0" fillId="0" borderId="16" xfId="0" applyNumberFormat="1" applyBorder="1" applyAlignment="1">
      <alignment/>
    </xf>
    <xf numFmtId="181" fontId="0" fillId="0" borderId="0" xfId="0" applyNumberFormat="1" applyAlignment="1">
      <alignment horizontal="center"/>
    </xf>
    <xf numFmtId="181" fontId="0" fillId="0" borderId="0" xfId="21" applyNumberFormat="1" applyAlignment="1">
      <alignment/>
    </xf>
    <xf numFmtId="181" fontId="0" fillId="0" borderId="0" xfId="0" applyNumberFormat="1" applyBorder="1" applyAlignment="1">
      <alignment horizontal="right"/>
    </xf>
    <xf numFmtId="181" fontId="0" fillId="0" borderId="0" xfId="15" applyNumberFormat="1" applyBorder="1" applyAlignment="1">
      <alignment/>
    </xf>
    <xf numFmtId="181" fontId="1" fillId="0" borderId="0" xfId="0" applyNumberFormat="1" applyFont="1" applyBorder="1" applyAlignment="1">
      <alignment horizontal="center"/>
    </xf>
    <xf numFmtId="181" fontId="0" fillId="0" borderId="0" xfId="0" applyNumberFormat="1" applyAlignment="1">
      <alignment horizontal="right"/>
    </xf>
    <xf numFmtId="183" fontId="0" fillId="0" borderId="9" xfId="0" applyNumberFormat="1" applyFill="1" applyBorder="1" applyAlignment="1">
      <alignment horizontal="right"/>
    </xf>
    <xf numFmtId="183" fontId="0" fillId="0" borderId="9" xfId="0" applyNumberFormat="1" applyFill="1" applyBorder="1" applyAlignment="1">
      <alignment/>
    </xf>
    <xf numFmtId="183" fontId="0" fillId="0" borderId="9" xfId="0" applyNumberFormat="1" applyBorder="1" applyAlignment="1">
      <alignment horizontal="right"/>
    </xf>
    <xf numFmtId="183" fontId="0" fillId="0" borderId="12" xfId="0" applyNumberFormat="1" applyFill="1" applyBorder="1" applyAlignment="1">
      <alignment horizontal="right"/>
    </xf>
    <xf numFmtId="183" fontId="0" fillId="0" borderId="12" xfId="0" applyNumberFormat="1" applyBorder="1" applyAlignment="1">
      <alignment horizontal="right"/>
    </xf>
    <xf numFmtId="183" fontId="0" fillId="0" borderId="17" xfId="0" applyNumberFormat="1" applyBorder="1" applyAlignment="1">
      <alignment/>
    </xf>
    <xf numFmtId="41" fontId="0" fillId="0" borderId="0" xfId="0" applyNumberFormat="1" applyFont="1" applyAlignment="1">
      <alignment/>
    </xf>
    <xf numFmtId="41" fontId="1" fillId="0" borderId="0" xfId="15" applyNumberFormat="1" applyFont="1" applyAlignment="1">
      <alignment/>
    </xf>
    <xf numFmtId="181" fontId="0" fillId="0" borderId="0" xfId="0" applyNumberFormat="1" applyFill="1" applyBorder="1" applyAlignment="1">
      <alignment/>
    </xf>
    <xf numFmtId="41" fontId="1" fillId="0" borderId="16" xfId="0" applyNumberFormat="1" applyFont="1" applyBorder="1" applyAlignment="1">
      <alignment horizontal="center"/>
    </xf>
    <xf numFmtId="41" fontId="0" fillId="0" borderId="4" xfId="0" applyNumberFormat="1" applyBorder="1" applyAlignment="1">
      <alignment horizontal="center"/>
    </xf>
    <xf numFmtId="41" fontId="0" fillId="0" borderId="5" xfId="0" applyNumberFormat="1" applyBorder="1" applyAlignment="1">
      <alignment horizontal="center"/>
    </xf>
    <xf numFmtId="41" fontId="0" fillId="0" borderId="10" xfId="0" applyNumberFormat="1" applyBorder="1" applyAlignment="1">
      <alignment horizontal="center"/>
    </xf>
    <xf numFmtId="41" fontId="0" fillId="0" borderId="11" xfId="0" applyNumberFormat="1" applyBorder="1" applyAlignment="1">
      <alignment horizontal="center"/>
    </xf>
    <xf numFmtId="41" fontId="1" fillId="0" borderId="10" xfId="0" applyNumberFormat="1" applyFont="1" applyBorder="1" applyAlignment="1">
      <alignment horizontal="center"/>
    </xf>
    <xf numFmtId="41" fontId="1" fillId="0" borderId="11" xfId="0" applyNumberFormat="1" applyFont="1" applyBorder="1" applyAlignment="1">
      <alignment horizontal="center"/>
    </xf>
    <xf numFmtId="41" fontId="1" fillId="0" borderId="0" xfId="0" applyNumberFormat="1" applyFont="1" applyAlignment="1">
      <alignment horizontal="center"/>
    </xf>
    <xf numFmtId="41" fontId="6" fillId="0" borderId="0" xfId="0" applyNumberFormat="1" applyFont="1" applyAlignment="1">
      <alignment horizontal="center"/>
    </xf>
    <xf numFmtId="41" fontId="0" fillId="0" borderId="0" xfId="0" applyNumberFormat="1" applyAlignment="1">
      <alignment/>
    </xf>
    <xf numFmtId="181" fontId="1" fillId="0" borderId="0" xfId="0" applyNumberFormat="1" applyFont="1" applyAlignment="1">
      <alignment horizontal="center"/>
    </xf>
    <xf numFmtId="181" fontId="1" fillId="0" borderId="0" xfId="0" applyNumberFormat="1" applyFont="1" applyBorder="1" applyAlignment="1">
      <alignment horizontal="center"/>
    </xf>
    <xf numFmtId="181" fontId="0" fillId="0" borderId="0" xfId="0" applyNumberFormat="1" applyBorder="1" applyAlignment="1">
      <alignment horizontal="center"/>
    </xf>
    <xf numFmtId="181" fontId="0" fillId="0" borderId="0" xfId="0" applyNumberFormat="1" applyBorder="1" applyAlignment="1">
      <alignment horizontal="right"/>
    </xf>
    <xf numFmtId="181" fontId="0" fillId="0" borderId="0" xfId="0" applyNumberFormat="1" applyBorder="1" applyAlignment="1" quotePrefix="1">
      <alignment horizontal="right"/>
    </xf>
    <xf numFmtId="181" fontId="1" fillId="0" borderId="4" xfId="0" applyNumberFormat="1" applyFont="1" applyBorder="1" applyAlignment="1">
      <alignment horizontal="center"/>
    </xf>
    <xf numFmtId="181" fontId="1" fillId="0" borderId="5" xfId="0" applyNumberFormat="1" applyFont="1" applyBorder="1" applyAlignment="1">
      <alignment horizontal="center"/>
    </xf>
    <xf numFmtId="181" fontId="1" fillId="0" borderId="15" xfId="0" applyNumberFormat="1" applyFont="1" applyBorder="1" applyAlignment="1">
      <alignment horizontal="center"/>
    </xf>
    <xf numFmtId="181" fontId="1" fillId="0" borderId="16" xfId="0" applyNumberFormat="1" applyFont="1" applyBorder="1" applyAlignment="1">
      <alignment horizontal="center"/>
    </xf>
    <xf numFmtId="43" fontId="0" fillId="0" borderId="4" xfId="0" applyNumberFormat="1" applyBorder="1" applyAlignment="1">
      <alignment horizontal="right"/>
    </xf>
    <xf numFmtId="0" fontId="0" fillId="0" borderId="5" xfId="0" applyBorder="1" applyAlignment="1">
      <alignment/>
    </xf>
    <xf numFmtId="0" fontId="0" fillId="0" borderId="10" xfId="0" applyBorder="1" applyAlignment="1">
      <alignment/>
    </xf>
    <xf numFmtId="0" fontId="0" fillId="0" borderId="11" xfId="0" applyBorder="1" applyAlignment="1">
      <alignment/>
    </xf>
    <xf numFmtId="181" fontId="0" fillId="0" borderId="8" xfId="0" applyNumberFormat="1" applyBorder="1" applyAlignment="1">
      <alignment horizontal="center"/>
    </xf>
    <xf numFmtId="181" fontId="0" fillId="0" borderId="12" xfId="0" applyNumberFormat="1" applyBorder="1" applyAlignment="1">
      <alignment horizontal="center"/>
    </xf>
    <xf numFmtId="181" fontId="0" fillId="0" borderId="4" xfId="0" applyNumberFormat="1" applyBorder="1" applyAlignment="1">
      <alignment horizontal="center"/>
    </xf>
    <xf numFmtId="181" fontId="0" fillId="0" borderId="5" xfId="0" applyNumberFormat="1" applyBorder="1" applyAlignment="1">
      <alignment horizontal="center"/>
    </xf>
    <xf numFmtId="181" fontId="0" fillId="0" borderId="10" xfId="0" applyNumberFormat="1" applyBorder="1" applyAlignment="1">
      <alignment horizontal="center"/>
    </xf>
    <xf numFmtId="181" fontId="0" fillId="0" borderId="11" xfId="0" applyNumberFormat="1" applyBorder="1" applyAlignment="1">
      <alignment horizontal="center"/>
    </xf>
    <xf numFmtId="183" fontId="0" fillId="0" borderId="8" xfId="15" applyNumberFormat="1" applyBorder="1" applyAlignment="1">
      <alignment horizontal="right"/>
    </xf>
    <xf numFmtId="183" fontId="0" fillId="0" borderId="12" xfId="15" applyNumberFormat="1" applyBorder="1" applyAlignment="1">
      <alignment horizontal="right"/>
    </xf>
    <xf numFmtId="181" fontId="0" fillId="0" borderId="8" xfId="0" applyNumberFormat="1" applyBorder="1" applyAlignment="1">
      <alignment horizontal="right"/>
    </xf>
    <xf numFmtId="181" fontId="0" fillId="0" borderId="12" xfId="0" applyNumberFormat="1" applyBorder="1" applyAlignment="1">
      <alignment horizontal="right"/>
    </xf>
    <xf numFmtId="181" fontId="0" fillId="0" borderId="8" xfId="0" applyNumberFormat="1" applyBorder="1" applyAlignment="1" quotePrefix="1">
      <alignment horizontal="right"/>
    </xf>
    <xf numFmtId="181" fontId="0" fillId="0" borderId="12" xfId="0" applyNumberFormat="1" applyBorder="1" applyAlignment="1" quotePrefix="1">
      <alignment horizontal="right"/>
    </xf>
    <xf numFmtId="183" fontId="0" fillId="0" borderId="4" xfId="0" applyNumberFormat="1" applyBorder="1" applyAlignment="1">
      <alignment horizontal="right"/>
    </xf>
    <xf numFmtId="183" fontId="0" fillId="0" borderId="5" xfId="0" applyNumberFormat="1" applyBorder="1" applyAlignment="1">
      <alignment horizontal="right"/>
    </xf>
    <xf numFmtId="183" fontId="0" fillId="0" borderId="10" xfId="0" applyNumberFormat="1" applyBorder="1" applyAlignment="1">
      <alignment horizontal="right"/>
    </xf>
    <xf numFmtId="183" fontId="0" fillId="0" borderId="11" xfId="0" applyNumberFormat="1" applyBorder="1" applyAlignment="1">
      <alignment horizontal="right"/>
    </xf>
    <xf numFmtId="41" fontId="1" fillId="0" borderId="4" xfId="0" applyNumberFormat="1" applyFont="1" applyBorder="1" applyAlignment="1">
      <alignment horizontal="center"/>
    </xf>
    <xf numFmtId="41" fontId="1" fillId="0" borderId="5" xfId="0" applyNumberFormat="1" applyFont="1" applyBorder="1" applyAlignment="1">
      <alignment horizontal="center"/>
    </xf>
    <xf numFmtId="41" fontId="1" fillId="0" borderId="15"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5</xdr:row>
      <xdr:rowOff>76200</xdr:rowOff>
    </xdr:from>
    <xdr:to>
      <xdr:col>5</xdr:col>
      <xdr:colOff>266700</xdr:colOff>
      <xdr:row>5</xdr:row>
      <xdr:rowOff>76200</xdr:rowOff>
    </xdr:to>
    <xdr:sp>
      <xdr:nvSpPr>
        <xdr:cNvPr id="1" name="AutoShape 11"/>
        <xdr:cNvSpPr>
          <a:spLocks/>
        </xdr:cNvSpPr>
      </xdr:nvSpPr>
      <xdr:spPr>
        <a:xfrm flipH="1">
          <a:off x="5019675" y="885825"/>
          <a:ext cx="2400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714375</xdr:colOff>
      <xdr:row>5</xdr:row>
      <xdr:rowOff>76200</xdr:rowOff>
    </xdr:from>
    <xdr:to>
      <xdr:col>8</xdr:col>
      <xdr:colOff>838200</xdr:colOff>
      <xdr:row>5</xdr:row>
      <xdr:rowOff>85725</xdr:rowOff>
    </xdr:to>
    <xdr:sp>
      <xdr:nvSpPr>
        <xdr:cNvPr id="2" name="Line 12"/>
        <xdr:cNvSpPr>
          <a:spLocks/>
        </xdr:cNvSpPr>
      </xdr:nvSpPr>
      <xdr:spPr>
        <a:xfrm flipV="1">
          <a:off x="8953500" y="885825"/>
          <a:ext cx="26479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6</xdr:row>
      <xdr:rowOff>85725</xdr:rowOff>
    </xdr:from>
    <xdr:to>
      <xdr:col>4</xdr:col>
      <xdr:colOff>666750</xdr:colOff>
      <xdr:row>6</xdr:row>
      <xdr:rowOff>85725</xdr:rowOff>
    </xdr:to>
    <xdr:sp>
      <xdr:nvSpPr>
        <xdr:cNvPr id="3" name="AutoShape 13"/>
        <xdr:cNvSpPr>
          <a:spLocks/>
        </xdr:cNvSpPr>
      </xdr:nvSpPr>
      <xdr:spPr>
        <a:xfrm flipH="1" flipV="1">
          <a:off x="4972050" y="1057275"/>
          <a:ext cx="1762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6</xdr:row>
      <xdr:rowOff>95250</xdr:rowOff>
    </xdr:from>
    <xdr:to>
      <xdr:col>7</xdr:col>
      <xdr:colOff>800100</xdr:colOff>
      <xdr:row>6</xdr:row>
      <xdr:rowOff>95250</xdr:rowOff>
    </xdr:to>
    <xdr:sp>
      <xdr:nvSpPr>
        <xdr:cNvPr id="4" name="Line 14"/>
        <xdr:cNvSpPr>
          <a:spLocks/>
        </xdr:cNvSpPr>
      </xdr:nvSpPr>
      <xdr:spPr>
        <a:xfrm>
          <a:off x="8848725" y="1066800"/>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7"/>
  <sheetViews>
    <sheetView workbookViewId="0" topLeftCell="A1">
      <selection activeCell="A1" sqref="A1"/>
    </sheetView>
  </sheetViews>
  <sheetFormatPr defaultColWidth="9.140625" defaultRowHeight="12.75"/>
  <cols>
    <col min="1" max="1" width="8.140625" style="83" customWidth="1"/>
    <col min="2" max="2" width="25.00390625" style="2" customWidth="1"/>
    <col min="3" max="3" width="17.57421875" style="2" customWidth="1"/>
    <col min="4" max="4" width="18.421875" style="2" customWidth="1"/>
    <col min="5" max="5" width="16.8515625" style="2" customWidth="1"/>
    <col min="6" max="6" width="18.421875" style="2" customWidth="1"/>
    <col min="7" max="7" width="9.140625" style="2" customWidth="1"/>
    <col min="8" max="8" width="10.28125" style="2" bestFit="1" customWidth="1"/>
    <col min="9" max="16384" width="9.140625" style="2" customWidth="1"/>
  </cols>
  <sheetData>
    <row r="1" ht="12.75">
      <c r="A1" s="23" t="s">
        <v>124</v>
      </c>
    </row>
    <row r="2" ht="12.75">
      <c r="A2" s="54"/>
    </row>
    <row r="3" ht="12.75">
      <c r="A3" s="52" t="s">
        <v>1</v>
      </c>
    </row>
    <row r="4" ht="12.75">
      <c r="A4" s="68" t="s">
        <v>136</v>
      </c>
    </row>
    <row r="5" ht="12.75">
      <c r="A5" s="52"/>
    </row>
    <row r="6" ht="12.75">
      <c r="A6" s="68"/>
    </row>
    <row r="7" spans="1:6" ht="12.75">
      <c r="A7" s="36"/>
      <c r="B7" s="69"/>
      <c r="C7" s="113" t="s">
        <v>2</v>
      </c>
      <c r="D7" s="114"/>
      <c r="E7" s="115" t="s">
        <v>3</v>
      </c>
      <c r="F7" s="116"/>
    </row>
    <row r="8" spans="1:6" ht="12.75">
      <c r="A8" s="70"/>
      <c r="B8" s="53"/>
      <c r="C8" s="58" t="s">
        <v>4</v>
      </c>
      <c r="D8" s="58" t="s">
        <v>5</v>
      </c>
      <c r="E8" s="58" t="s">
        <v>4</v>
      </c>
      <c r="F8" s="58" t="s">
        <v>5</v>
      </c>
    </row>
    <row r="9" spans="1:6" ht="12.75">
      <c r="A9" s="70"/>
      <c r="B9" s="53"/>
      <c r="C9" s="71" t="s">
        <v>103</v>
      </c>
      <c r="D9" s="71" t="s">
        <v>6</v>
      </c>
      <c r="E9" s="71" t="s">
        <v>104</v>
      </c>
      <c r="F9" s="71" t="s">
        <v>6</v>
      </c>
    </row>
    <row r="10" spans="1:6" ht="12.75">
      <c r="A10" s="70"/>
      <c r="B10" s="53"/>
      <c r="C10" s="71"/>
      <c r="D10" s="71" t="s">
        <v>7</v>
      </c>
      <c r="E10" s="71"/>
      <c r="F10" s="71" t="s">
        <v>8</v>
      </c>
    </row>
    <row r="11" spans="1:6" ht="12.75">
      <c r="A11" s="70"/>
      <c r="B11" s="53"/>
      <c r="C11" s="72"/>
      <c r="D11" s="72"/>
      <c r="E11" s="72"/>
      <c r="F11" s="72"/>
    </row>
    <row r="12" spans="1:6" ht="12.75">
      <c r="A12" s="70"/>
      <c r="B12" s="53"/>
      <c r="C12" s="71" t="s">
        <v>80</v>
      </c>
      <c r="D12" s="71" t="s">
        <v>81</v>
      </c>
      <c r="E12" s="71" t="s">
        <v>80</v>
      </c>
      <c r="F12" s="71" t="s">
        <v>81</v>
      </c>
    </row>
    <row r="13" spans="1:6" ht="12.75">
      <c r="A13" s="73"/>
      <c r="B13" s="56"/>
      <c r="C13" s="59" t="s">
        <v>9</v>
      </c>
      <c r="D13" s="59" t="s">
        <v>9</v>
      </c>
      <c r="E13" s="59" t="s">
        <v>9</v>
      </c>
      <c r="F13" s="59" t="s">
        <v>9</v>
      </c>
    </row>
    <row r="14" spans="1:8" ht="12.75">
      <c r="A14" s="74">
        <v>1</v>
      </c>
      <c r="B14" s="75" t="s">
        <v>10</v>
      </c>
      <c r="C14" s="75">
        <f>'CPL(2)'!D14</f>
        <v>11386</v>
      </c>
      <c r="D14" s="75">
        <f>'CPL(2)'!E14</f>
        <v>22580</v>
      </c>
      <c r="E14" s="75">
        <f>'CPL(2)'!F14</f>
        <v>32012</v>
      </c>
      <c r="F14" s="75">
        <f>'CPL(2)'!G14</f>
        <v>41267</v>
      </c>
      <c r="H14" s="3"/>
    </row>
    <row r="15" spans="1:6" ht="12.75">
      <c r="A15" s="58">
        <v>2</v>
      </c>
      <c r="B15" s="75" t="s">
        <v>11</v>
      </c>
      <c r="C15" s="76">
        <f>'CPL(2)'!D25</f>
        <v>665</v>
      </c>
      <c r="D15" s="76">
        <f>'CPL(2)'!E25</f>
        <v>-5082</v>
      </c>
      <c r="E15" s="76">
        <f>'CPL(2)'!F25</f>
        <v>1118</v>
      </c>
      <c r="F15" s="76">
        <f>'CPL(2)'!G25</f>
        <v>-10633</v>
      </c>
    </row>
    <row r="16" spans="1:6" ht="12.75">
      <c r="A16" s="58">
        <v>3</v>
      </c>
      <c r="B16" s="77" t="s">
        <v>12</v>
      </c>
      <c r="C16" s="131">
        <f>'CPL(2)'!D35</f>
        <v>1550</v>
      </c>
      <c r="D16" s="131">
        <f>'CPL(2)'!E35</f>
        <v>-5674</v>
      </c>
      <c r="E16" s="131">
        <f>'CPL(2)'!F35</f>
        <v>1689</v>
      </c>
      <c r="F16" s="131">
        <f>'CPL(2)'!G35</f>
        <v>-11267</v>
      </c>
    </row>
    <row r="17" spans="1:6" ht="12.75">
      <c r="A17" s="71"/>
      <c r="B17" s="78" t="s">
        <v>13</v>
      </c>
      <c r="C17" s="132"/>
      <c r="D17" s="132"/>
      <c r="E17" s="132"/>
      <c r="F17" s="132"/>
    </row>
    <row r="18" spans="1:6" ht="12.75">
      <c r="A18" s="58">
        <v>4</v>
      </c>
      <c r="B18" s="79" t="s">
        <v>14</v>
      </c>
      <c r="C18" s="129">
        <f>'CPL(2)'!D35</f>
        <v>1550</v>
      </c>
      <c r="D18" s="129">
        <f>'CPL(2)'!E35</f>
        <v>-5674</v>
      </c>
      <c r="E18" s="129">
        <f>'CPL(2)'!F35</f>
        <v>1689</v>
      </c>
      <c r="F18" s="129">
        <f>'CPL(2)'!G35</f>
        <v>-11267</v>
      </c>
    </row>
    <row r="19" spans="1:6" ht="12.75">
      <c r="A19" s="71"/>
      <c r="B19" s="80" t="s">
        <v>15</v>
      </c>
      <c r="C19" s="130"/>
      <c r="D19" s="130"/>
      <c r="E19" s="130"/>
      <c r="F19" s="130"/>
    </row>
    <row r="20" spans="1:6" ht="12.75">
      <c r="A20" s="36">
        <v>5</v>
      </c>
      <c r="B20" s="77" t="s">
        <v>16</v>
      </c>
      <c r="C20" s="127">
        <f>'CPL(2)'!D39</f>
        <v>2.42</v>
      </c>
      <c r="D20" s="127">
        <f>'CPL(2)'!E39</f>
        <v>-8.96</v>
      </c>
      <c r="E20" s="127">
        <f>'CPL(2)'!F39</f>
        <v>2.64</v>
      </c>
      <c r="F20" s="127">
        <f>'CPL(2)'!G39</f>
        <v>-18.04</v>
      </c>
    </row>
    <row r="21" spans="1:6" ht="12.75">
      <c r="A21" s="73"/>
      <c r="B21" s="78" t="s">
        <v>17</v>
      </c>
      <c r="C21" s="128"/>
      <c r="D21" s="128"/>
      <c r="E21" s="128"/>
      <c r="F21" s="128"/>
    </row>
    <row r="22" spans="1:6" ht="12.75">
      <c r="A22" s="59">
        <v>6</v>
      </c>
      <c r="B22" s="80" t="s">
        <v>36</v>
      </c>
      <c r="C22" s="80">
        <v>0</v>
      </c>
      <c r="D22" s="80">
        <v>0</v>
      </c>
      <c r="E22" s="80">
        <v>0</v>
      </c>
      <c r="F22" s="80">
        <v>0</v>
      </c>
    </row>
    <row r="23" spans="1:6" ht="12.75">
      <c r="A23" s="81"/>
      <c r="C23" s="53"/>
      <c r="D23" s="53"/>
      <c r="E23" s="53"/>
      <c r="F23" s="82"/>
    </row>
    <row r="24" spans="1:6" ht="12.75">
      <c r="A24" s="121"/>
      <c r="B24" s="121"/>
      <c r="C24" s="123" t="s">
        <v>132</v>
      </c>
      <c r="D24" s="124"/>
      <c r="E24" s="123" t="s">
        <v>19</v>
      </c>
      <c r="F24" s="124"/>
    </row>
    <row r="25" spans="1:6" ht="12.75">
      <c r="A25" s="122"/>
      <c r="B25" s="122"/>
      <c r="C25" s="125"/>
      <c r="D25" s="126"/>
      <c r="E25" s="125" t="s">
        <v>20</v>
      </c>
      <c r="F25" s="126"/>
    </row>
    <row r="26" spans="1:6" ht="12.75">
      <c r="A26" s="58">
        <v>7</v>
      </c>
      <c r="B26" s="79" t="s">
        <v>21</v>
      </c>
      <c r="C26" s="117">
        <f>CBS!D56</f>
        <v>0.16</v>
      </c>
      <c r="D26" s="118"/>
      <c r="E26" s="117">
        <f>CBS!E56</f>
        <v>0.13</v>
      </c>
      <c r="F26" s="118"/>
    </row>
    <row r="27" spans="1:6" ht="12.75">
      <c r="A27" s="59"/>
      <c r="B27" s="80" t="s">
        <v>22</v>
      </c>
      <c r="C27" s="119"/>
      <c r="D27" s="120"/>
      <c r="E27" s="119"/>
      <c r="F27" s="120"/>
    </row>
    <row r="28" spans="3:6" ht="12.75">
      <c r="C28" s="83"/>
      <c r="D28" s="83"/>
      <c r="E28" s="83"/>
      <c r="F28" s="83"/>
    </row>
    <row r="29" spans="3:6" ht="12.75">
      <c r="C29" s="83"/>
      <c r="D29" s="83"/>
      <c r="E29" s="83"/>
      <c r="F29" s="83"/>
    </row>
    <row r="30" spans="3:6" ht="12.75">
      <c r="C30" s="83"/>
      <c r="D30" s="83"/>
      <c r="E30" s="83"/>
      <c r="F30" s="83"/>
    </row>
    <row r="31" spans="1:6" ht="12.75">
      <c r="A31" s="52" t="s">
        <v>23</v>
      </c>
      <c r="C31" s="83"/>
      <c r="D31" s="83"/>
      <c r="E31" s="83"/>
      <c r="F31" s="83"/>
    </row>
    <row r="33" spans="1:6" ht="12.75">
      <c r="A33" s="36"/>
      <c r="B33" s="69"/>
      <c r="C33" s="113" t="s">
        <v>2</v>
      </c>
      <c r="D33" s="114"/>
      <c r="E33" s="115" t="s">
        <v>3</v>
      </c>
      <c r="F33" s="116"/>
    </row>
    <row r="34" spans="1:6" ht="12.75">
      <c r="A34" s="70"/>
      <c r="B34" s="53"/>
      <c r="C34" s="58" t="s">
        <v>4</v>
      </c>
      <c r="D34" s="58" t="s">
        <v>5</v>
      </c>
      <c r="E34" s="58" t="s">
        <v>4</v>
      </c>
      <c r="F34" s="58" t="s">
        <v>5</v>
      </c>
    </row>
    <row r="35" spans="1:6" ht="12.75">
      <c r="A35" s="70"/>
      <c r="B35" s="53"/>
      <c r="C35" s="71" t="s">
        <v>103</v>
      </c>
      <c r="D35" s="71" t="s">
        <v>6</v>
      </c>
      <c r="E35" s="71" t="s">
        <v>104</v>
      </c>
      <c r="F35" s="71" t="s">
        <v>6</v>
      </c>
    </row>
    <row r="36" spans="1:6" ht="12.75">
      <c r="A36" s="70"/>
      <c r="B36" s="53"/>
      <c r="C36" s="71"/>
      <c r="D36" s="71" t="s">
        <v>7</v>
      </c>
      <c r="E36" s="71"/>
      <c r="F36" s="71" t="s">
        <v>8</v>
      </c>
    </row>
    <row r="37" spans="1:6" ht="12.75">
      <c r="A37" s="70"/>
      <c r="B37" s="53"/>
      <c r="C37" s="72"/>
      <c r="D37" s="72"/>
      <c r="E37" s="72"/>
      <c r="F37" s="72"/>
    </row>
    <row r="38" spans="1:6" ht="12.75">
      <c r="A38" s="70"/>
      <c r="B38" s="53"/>
      <c r="C38" s="71" t="s">
        <v>80</v>
      </c>
      <c r="D38" s="71" t="s">
        <v>81</v>
      </c>
      <c r="E38" s="71" t="s">
        <v>80</v>
      </c>
      <c r="F38" s="71" t="s">
        <v>81</v>
      </c>
    </row>
    <row r="39" spans="1:6" ht="12.75">
      <c r="A39" s="73"/>
      <c r="B39" s="56"/>
      <c r="C39" s="59" t="s">
        <v>9</v>
      </c>
      <c r="D39" s="59" t="s">
        <v>9</v>
      </c>
      <c r="E39" s="59" t="s">
        <v>9</v>
      </c>
      <c r="F39" s="59" t="s">
        <v>9</v>
      </c>
    </row>
    <row r="40" spans="1:6" ht="12.75">
      <c r="A40" s="58">
        <v>1</v>
      </c>
      <c r="B40" s="75" t="s">
        <v>24</v>
      </c>
      <c r="C40" s="76">
        <f>'CPL(2)'!D20</f>
        <v>953</v>
      </c>
      <c r="D40" s="76">
        <f>'CPL(2)'!E20</f>
        <v>-5578</v>
      </c>
      <c r="E40" s="76">
        <f>'CPL(2)'!F20</f>
        <v>1808</v>
      </c>
      <c r="F40" s="76">
        <f>'CPL(2)'!G20</f>
        <v>-10467</v>
      </c>
    </row>
    <row r="41" spans="1:8" ht="12.75">
      <c r="A41" s="58">
        <v>2</v>
      </c>
      <c r="B41" s="77" t="s">
        <v>25</v>
      </c>
      <c r="C41" s="76">
        <f>147-96</f>
        <v>51</v>
      </c>
      <c r="D41" s="76">
        <v>89</v>
      </c>
      <c r="E41" s="76">
        <f>147</f>
        <v>147</v>
      </c>
      <c r="F41" s="76">
        <v>238</v>
      </c>
      <c r="H41" s="84"/>
    </row>
    <row r="42" spans="1:6" ht="12.75">
      <c r="A42" s="74">
        <v>3</v>
      </c>
      <c r="B42" s="75" t="s">
        <v>26</v>
      </c>
      <c r="C42" s="76">
        <f>837-402</f>
        <v>435</v>
      </c>
      <c r="D42" s="76">
        <f>-662+404</f>
        <v>-258</v>
      </c>
      <c r="E42" s="76">
        <f>690+147</f>
        <v>837</v>
      </c>
      <c r="F42" s="76">
        <v>404</v>
      </c>
    </row>
    <row r="43" spans="1:8" s="53" customFormat="1" ht="12.75">
      <c r="A43" s="55"/>
      <c r="C43" s="112"/>
      <c r="D43" s="111"/>
      <c r="E43" s="111"/>
      <c r="F43" s="111"/>
      <c r="H43" s="86"/>
    </row>
    <row r="44" spans="1:6" s="53" customFormat="1" ht="12.75">
      <c r="A44" s="55"/>
      <c r="C44" s="112"/>
      <c r="D44" s="111"/>
      <c r="E44" s="111"/>
      <c r="F44" s="111"/>
    </row>
    <row r="45" spans="1:6" s="53" customFormat="1" ht="12.75">
      <c r="A45" s="55"/>
      <c r="C45" s="110"/>
      <c r="D45" s="110"/>
      <c r="E45" s="110"/>
      <c r="F45" s="110"/>
    </row>
    <row r="46" spans="1:6" s="53" customFormat="1" ht="12.75">
      <c r="A46" s="55"/>
      <c r="C46" s="110"/>
      <c r="D46" s="110"/>
      <c r="E46" s="110"/>
      <c r="F46" s="110"/>
    </row>
    <row r="47" spans="1:6" s="53" customFormat="1" ht="12.75">
      <c r="A47" s="55"/>
      <c r="C47" s="111"/>
      <c r="D47" s="111"/>
      <c r="E47" s="111"/>
      <c r="F47" s="111"/>
    </row>
    <row r="48" spans="1:6" s="53" customFormat="1" ht="12.75">
      <c r="A48" s="55"/>
      <c r="C48" s="111"/>
      <c r="D48" s="111"/>
      <c r="E48" s="111"/>
      <c r="F48" s="111"/>
    </row>
    <row r="49" spans="1:6" s="53" customFormat="1" ht="12.75">
      <c r="A49" s="55"/>
      <c r="C49" s="109"/>
      <c r="D49" s="109"/>
      <c r="E49" s="109"/>
      <c r="F49" s="109"/>
    </row>
    <row r="50" spans="1:6" s="53" customFormat="1" ht="12.75">
      <c r="A50" s="55"/>
      <c r="C50" s="87"/>
      <c r="D50" s="87"/>
      <c r="E50" s="87"/>
      <c r="F50" s="87"/>
    </row>
    <row r="51" spans="1:6" s="53" customFormat="1" ht="12.75">
      <c r="A51" s="55"/>
      <c r="C51" s="110"/>
      <c r="D51" s="110"/>
      <c r="E51" s="110"/>
      <c r="F51" s="110"/>
    </row>
    <row r="52" spans="1:6" s="53" customFormat="1" ht="12.75">
      <c r="A52" s="55"/>
      <c r="C52" s="85"/>
      <c r="D52" s="85"/>
      <c r="E52" s="85"/>
      <c r="F52" s="85"/>
    </row>
    <row r="53" spans="3:6" ht="12.75">
      <c r="C53" s="88"/>
      <c r="D53" s="88"/>
      <c r="E53" s="88"/>
      <c r="F53" s="88"/>
    </row>
    <row r="54" spans="3:6" ht="12.75">
      <c r="C54" s="88"/>
      <c r="D54" s="88"/>
      <c r="E54" s="88"/>
      <c r="F54" s="88"/>
    </row>
    <row r="55" spans="3:6" ht="12.75">
      <c r="C55" s="88"/>
      <c r="D55" s="88"/>
      <c r="E55" s="88"/>
      <c r="F55" s="88"/>
    </row>
    <row r="56" spans="3:6" ht="12.75">
      <c r="C56" s="88"/>
      <c r="D56" s="88"/>
      <c r="E56" s="88"/>
      <c r="F56" s="88"/>
    </row>
    <row r="57" spans="3:6" ht="12.75">
      <c r="C57" s="88"/>
      <c r="D57" s="88"/>
      <c r="E57" s="88"/>
      <c r="F57" s="88"/>
    </row>
  </sheetData>
  <mergeCells count="40">
    <mergeCell ref="C7:D7"/>
    <mergeCell ref="E7:F7"/>
    <mergeCell ref="C16:C17"/>
    <mergeCell ref="D16:D17"/>
    <mergeCell ref="E16:E17"/>
    <mergeCell ref="F16:F17"/>
    <mergeCell ref="C18:C19"/>
    <mergeCell ref="D18:D19"/>
    <mergeCell ref="E18:E19"/>
    <mergeCell ref="F18:F19"/>
    <mergeCell ref="C20:C21"/>
    <mergeCell ref="D20:D21"/>
    <mergeCell ref="E20:E21"/>
    <mergeCell ref="F20:F21"/>
    <mergeCell ref="A24:A25"/>
    <mergeCell ref="B24:B25"/>
    <mergeCell ref="C24:D24"/>
    <mergeCell ref="E24:F24"/>
    <mergeCell ref="C25:D25"/>
    <mergeCell ref="E25:F25"/>
    <mergeCell ref="C33:D33"/>
    <mergeCell ref="E33:F33"/>
    <mergeCell ref="C26:D27"/>
    <mergeCell ref="E26:F27"/>
    <mergeCell ref="C43:C44"/>
    <mergeCell ref="D43:D44"/>
    <mergeCell ref="E43:E44"/>
    <mergeCell ref="F43:F44"/>
    <mergeCell ref="C45:C46"/>
    <mergeCell ref="D45:D46"/>
    <mergeCell ref="E45:E46"/>
    <mergeCell ref="F45:F46"/>
    <mergeCell ref="C47:C48"/>
    <mergeCell ref="D47:D48"/>
    <mergeCell ref="E47:E48"/>
    <mergeCell ref="F47:F48"/>
    <mergeCell ref="C49:D49"/>
    <mergeCell ref="E49:F49"/>
    <mergeCell ref="C51:D51"/>
    <mergeCell ref="E51:F51"/>
  </mergeCells>
  <printOptions/>
  <pageMargins left="0.75" right="0.75" top="1" bottom="1" header="0.5" footer="0.5"/>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G50"/>
  <sheetViews>
    <sheetView workbookViewId="0" topLeftCell="B39">
      <selection activeCell="G44" sqref="G44"/>
    </sheetView>
  </sheetViews>
  <sheetFormatPr defaultColWidth="9.140625" defaultRowHeight="12.75"/>
  <cols>
    <col min="1" max="1" width="4.7109375" style="13" customWidth="1"/>
    <col min="2" max="2" width="26.57421875" style="5" customWidth="1"/>
    <col min="3" max="3" width="5.7109375" style="13" customWidth="1"/>
    <col min="4" max="4" width="17.57421875" style="5" customWidth="1"/>
    <col min="5" max="5" width="18.00390625" style="5" customWidth="1"/>
    <col min="6" max="6" width="16.8515625" style="5" customWidth="1"/>
    <col min="7" max="7" width="21.8515625" style="5" customWidth="1"/>
    <col min="8" max="16384" width="9.140625" style="5" customWidth="1"/>
  </cols>
  <sheetData>
    <row r="1" ht="12.75">
      <c r="B1" s="23" t="s">
        <v>124</v>
      </c>
    </row>
    <row r="2" ht="12.75">
      <c r="B2" s="23"/>
    </row>
    <row r="3" ht="12.75">
      <c r="B3" s="23" t="s">
        <v>0</v>
      </c>
    </row>
    <row r="4" ht="12.75">
      <c r="B4" s="68" t="s">
        <v>136</v>
      </c>
    </row>
    <row r="5" ht="12.75">
      <c r="B5" s="4"/>
    </row>
    <row r="6" ht="12.75">
      <c r="A6" s="23"/>
    </row>
    <row r="7" spans="1:7" ht="12.75">
      <c r="A7" s="24"/>
      <c r="B7" s="25"/>
      <c r="C7" s="26"/>
      <c r="D7" s="137" t="s">
        <v>2</v>
      </c>
      <c r="E7" s="138"/>
      <c r="F7" s="139" t="s">
        <v>3</v>
      </c>
      <c r="G7" s="98"/>
    </row>
    <row r="8" spans="1:7" ht="12.75">
      <c r="A8" s="24"/>
      <c r="B8" s="27"/>
      <c r="C8" s="28"/>
      <c r="D8" s="29" t="s">
        <v>4</v>
      </c>
      <c r="E8" s="29" t="s">
        <v>5</v>
      </c>
      <c r="F8" s="29" t="s">
        <v>4</v>
      </c>
      <c r="G8" s="29" t="s">
        <v>5</v>
      </c>
    </row>
    <row r="9" spans="1:7" ht="12.75">
      <c r="A9" s="24"/>
      <c r="B9" s="27"/>
      <c r="C9" s="28"/>
      <c r="D9" s="30" t="s">
        <v>103</v>
      </c>
      <c r="E9" s="30" t="s">
        <v>6</v>
      </c>
      <c r="F9" s="30" t="s">
        <v>104</v>
      </c>
      <c r="G9" s="30" t="s">
        <v>6</v>
      </c>
    </row>
    <row r="10" spans="1:7" ht="12.75">
      <c r="A10" s="24"/>
      <c r="B10" s="27"/>
      <c r="C10" s="28"/>
      <c r="D10" s="30"/>
      <c r="E10" s="30" t="s">
        <v>7</v>
      </c>
      <c r="F10" s="30"/>
      <c r="G10" s="30" t="s">
        <v>8</v>
      </c>
    </row>
    <row r="11" spans="1:7" ht="12.75">
      <c r="A11" s="24"/>
      <c r="B11" s="27"/>
      <c r="C11" s="28"/>
      <c r="D11" s="31"/>
      <c r="E11" s="31"/>
      <c r="F11" s="31"/>
      <c r="G11" s="31"/>
    </row>
    <row r="12" spans="1:7" ht="12.75">
      <c r="A12" s="24"/>
      <c r="B12" s="27"/>
      <c r="C12" s="28"/>
      <c r="D12" s="30" t="s">
        <v>80</v>
      </c>
      <c r="E12" s="30" t="s">
        <v>81</v>
      </c>
      <c r="F12" s="30" t="s">
        <v>80</v>
      </c>
      <c r="G12" s="30" t="s">
        <v>81</v>
      </c>
    </row>
    <row r="13" spans="1:7" ht="12.75">
      <c r="A13" s="24"/>
      <c r="B13" s="32"/>
      <c r="C13" s="33"/>
      <c r="D13" s="34" t="s">
        <v>9</v>
      </c>
      <c r="E13" s="34" t="s">
        <v>9</v>
      </c>
      <c r="F13" s="34" t="s">
        <v>9</v>
      </c>
      <c r="G13" s="34" t="s">
        <v>9</v>
      </c>
    </row>
    <row r="14" spans="2:7" ht="12.75">
      <c r="B14" s="25" t="s">
        <v>10</v>
      </c>
      <c r="C14" s="26"/>
      <c r="D14" s="35">
        <f>32012-20626</f>
        <v>11386</v>
      </c>
      <c r="E14" s="37">
        <f>41267-18687</f>
        <v>22580</v>
      </c>
      <c r="F14" s="35">
        <f>32012</f>
        <v>32012</v>
      </c>
      <c r="G14" s="31">
        <f>41267</f>
        <v>41267</v>
      </c>
    </row>
    <row r="15" spans="2:7" ht="12.75">
      <c r="B15" s="27"/>
      <c r="C15" s="28"/>
      <c r="D15" s="35"/>
      <c r="E15" s="37"/>
      <c r="F15" s="35"/>
      <c r="G15" s="31"/>
    </row>
    <row r="16" spans="2:7" ht="12.75">
      <c r="B16" s="38" t="s">
        <v>27</v>
      </c>
      <c r="C16" s="39"/>
      <c r="D16" s="40">
        <f>D20-D18-D14</f>
        <v>-12989</v>
      </c>
      <c r="E16" s="37">
        <f>E20-E18-E14</f>
        <v>-28454</v>
      </c>
      <c r="F16" s="35">
        <f>F20-F18-F14</f>
        <v>-32989</v>
      </c>
      <c r="G16" s="31">
        <f>G20-G18-G14</f>
        <v>-52204</v>
      </c>
    </row>
    <row r="17" spans="2:7" ht="12.75">
      <c r="B17" s="27"/>
      <c r="C17" s="28"/>
      <c r="D17" s="35"/>
      <c r="E17" s="37"/>
      <c r="F17" s="35"/>
      <c r="G17" s="31"/>
    </row>
    <row r="18" spans="2:7" ht="12.75">
      <c r="B18" s="27" t="s">
        <v>28</v>
      </c>
      <c r="C18" s="28"/>
      <c r="D18" s="35">
        <f>2785-229</f>
        <v>2556</v>
      </c>
      <c r="E18" s="37">
        <f>470-174</f>
        <v>296</v>
      </c>
      <c r="F18" s="35">
        <f>2785</f>
        <v>2785</v>
      </c>
      <c r="G18" s="31">
        <f>708-238</f>
        <v>470</v>
      </c>
    </row>
    <row r="19" spans="2:7" ht="12.75">
      <c r="B19" s="27"/>
      <c r="C19" s="28"/>
      <c r="D19" s="41"/>
      <c r="E19" s="42"/>
      <c r="F19" s="41"/>
      <c r="G19" s="43"/>
    </row>
    <row r="20" spans="2:7" ht="12.75">
      <c r="B20" s="27" t="s">
        <v>24</v>
      </c>
      <c r="C20" s="28"/>
      <c r="D20" s="44">
        <f>1308-855+500</f>
        <v>953</v>
      </c>
      <c r="E20" s="44">
        <f>-10467+4889</f>
        <v>-5578</v>
      </c>
      <c r="F20" s="44">
        <f>1308+500</f>
        <v>1808</v>
      </c>
      <c r="G20" s="45">
        <f>-10229-238</f>
        <v>-10467</v>
      </c>
    </row>
    <row r="21" spans="2:7" ht="12.75">
      <c r="B21" s="27"/>
      <c r="C21" s="28"/>
      <c r="D21" s="35"/>
      <c r="E21" s="37"/>
      <c r="F21" s="35"/>
      <c r="G21" s="31"/>
    </row>
    <row r="22" spans="2:7" ht="12.75">
      <c r="B22" s="27" t="s">
        <v>89</v>
      </c>
      <c r="C22" s="28"/>
      <c r="D22" s="46">
        <f>-690+402</f>
        <v>-288</v>
      </c>
      <c r="E22" s="37">
        <f>662-166</f>
        <v>496</v>
      </c>
      <c r="F22" s="35">
        <v>-690</v>
      </c>
      <c r="G22" s="31">
        <f>-404+238</f>
        <v>-166</v>
      </c>
    </row>
    <row r="23" spans="2:7" ht="12.75">
      <c r="B23" s="27"/>
      <c r="C23" s="28"/>
      <c r="D23" s="41"/>
      <c r="E23" s="42"/>
      <c r="F23" s="41"/>
      <c r="G23" s="43"/>
    </row>
    <row r="24" spans="2:7" ht="12.75">
      <c r="B24" s="27"/>
      <c r="C24" s="28"/>
      <c r="D24" s="35"/>
      <c r="E24" s="37"/>
      <c r="F24" s="35"/>
      <c r="G24" s="31"/>
    </row>
    <row r="25" spans="2:7" ht="12.75">
      <c r="B25" s="27" t="s">
        <v>29</v>
      </c>
      <c r="C25" s="28"/>
      <c r="D25" s="46">
        <f>D20+D22</f>
        <v>665</v>
      </c>
      <c r="E25" s="37">
        <f>E20+E22</f>
        <v>-5082</v>
      </c>
      <c r="F25" s="35">
        <f>F20+F22</f>
        <v>1118</v>
      </c>
      <c r="G25" s="31">
        <f>G20+G22</f>
        <v>-10633</v>
      </c>
    </row>
    <row r="26" spans="2:7" ht="12.75">
      <c r="B26" s="27"/>
      <c r="C26" s="28"/>
      <c r="D26" s="35"/>
      <c r="E26" s="37"/>
      <c r="F26" s="35"/>
      <c r="G26" s="31"/>
    </row>
    <row r="27" spans="2:7" ht="12.75">
      <c r="B27" s="27" t="s">
        <v>30</v>
      </c>
      <c r="C27" s="28"/>
      <c r="D27" s="46">
        <f>376-41</f>
        <v>335</v>
      </c>
      <c r="E27" s="37">
        <f>-576+11</f>
        <v>-565</v>
      </c>
      <c r="F27" s="35">
        <f>376</f>
        <v>376</v>
      </c>
      <c r="G27" s="31">
        <v>-576</v>
      </c>
    </row>
    <row r="28" spans="2:7" ht="12.75">
      <c r="B28" s="27"/>
      <c r="C28" s="28"/>
      <c r="D28" s="41"/>
      <c r="E28" s="42"/>
      <c r="F28" s="41"/>
      <c r="G28" s="43"/>
    </row>
    <row r="29" spans="2:7" ht="12.75">
      <c r="B29" s="27"/>
      <c r="C29" s="28"/>
      <c r="D29" s="35"/>
      <c r="E29" s="37"/>
      <c r="F29" s="35"/>
      <c r="G29" s="31"/>
    </row>
    <row r="30" spans="2:7" ht="12.75">
      <c r="B30" s="27" t="s">
        <v>31</v>
      </c>
      <c r="C30" s="28"/>
      <c r="D30" s="35">
        <f>D25+D27</f>
        <v>1000</v>
      </c>
      <c r="E30" s="37">
        <f>E25+E27</f>
        <v>-5647</v>
      </c>
      <c r="F30" s="35">
        <f>F25+F27</f>
        <v>1494</v>
      </c>
      <c r="G30" s="31">
        <f>G25+G27</f>
        <v>-11209</v>
      </c>
    </row>
    <row r="31" spans="2:7" ht="12.75">
      <c r="B31" s="27"/>
      <c r="C31" s="28"/>
      <c r="D31" s="35"/>
      <c r="E31" s="37"/>
      <c r="F31" s="35"/>
      <c r="G31" s="31"/>
    </row>
    <row r="32" spans="2:7" ht="12.75">
      <c r="B32" s="27" t="s">
        <v>32</v>
      </c>
      <c r="C32" s="28"/>
      <c r="D32" s="35">
        <f>195+355</f>
        <v>550</v>
      </c>
      <c r="E32" s="37">
        <f>-58+31</f>
        <v>-27</v>
      </c>
      <c r="F32" s="35">
        <v>195</v>
      </c>
      <c r="G32" s="31">
        <v>-58</v>
      </c>
    </row>
    <row r="33" spans="2:7" ht="12.75">
      <c r="B33" s="27"/>
      <c r="C33" s="28"/>
      <c r="D33" s="35"/>
      <c r="E33" s="37"/>
      <c r="F33" s="35"/>
      <c r="G33" s="31"/>
    </row>
    <row r="34" spans="2:7" ht="12.75">
      <c r="B34" s="27"/>
      <c r="C34" s="28"/>
      <c r="D34" s="47"/>
      <c r="E34" s="47"/>
      <c r="F34" s="47"/>
      <c r="G34" s="48"/>
    </row>
    <row r="35" spans="2:7" ht="12.75">
      <c r="B35" s="27" t="s">
        <v>33</v>
      </c>
      <c r="C35" s="28"/>
      <c r="D35" s="35">
        <f>D30+D32</f>
        <v>1550</v>
      </c>
      <c r="E35" s="35">
        <f>E30+E32</f>
        <v>-5674</v>
      </c>
      <c r="F35" s="35">
        <f>F30+F32</f>
        <v>1689</v>
      </c>
      <c r="G35" s="31">
        <f>G30+G32</f>
        <v>-11267</v>
      </c>
    </row>
    <row r="36" spans="2:7" ht="12.75">
      <c r="B36" s="27"/>
      <c r="C36" s="28"/>
      <c r="D36" s="41"/>
      <c r="E36" s="41"/>
      <c r="F36" s="41"/>
      <c r="G36" s="43"/>
    </row>
    <row r="37" spans="2:7" ht="12.75">
      <c r="B37" s="27"/>
      <c r="C37" s="28"/>
      <c r="D37" s="47"/>
      <c r="E37" s="47"/>
      <c r="F37" s="47"/>
      <c r="G37" s="48"/>
    </row>
    <row r="38" spans="2:7" ht="12.75">
      <c r="B38" s="27" t="s">
        <v>105</v>
      </c>
      <c r="C38" s="28"/>
      <c r="D38" s="35"/>
      <c r="E38" s="35"/>
      <c r="F38" s="35"/>
      <c r="G38" s="31"/>
    </row>
    <row r="39" spans="2:7" ht="12.75">
      <c r="B39" s="49" t="s">
        <v>34</v>
      </c>
      <c r="C39" s="50"/>
      <c r="D39" s="89">
        <v>2.42</v>
      </c>
      <c r="E39" s="89">
        <v>-8.96</v>
      </c>
      <c r="F39" s="90">
        <v>2.64</v>
      </c>
      <c r="G39" s="91">
        <v>-18.04</v>
      </c>
    </row>
    <row r="40" spans="2:7" ht="12.75">
      <c r="B40" s="49" t="s">
        <v>35</v>
      </c>
      <c r="C40" s="50"/>
      <c r="D40" s="89" t="s">
        <v>76</v>
      </c>
      <c r="E40" s="89" t="s">
        <v>76</v>
      </c>
      <c r="F40" s="89" t="s">
        <v>76</v>
      </c>
      <c r="G40" s="91" t="s">
        <v>76</v>
      </c>
    </row>
    <row r="41" spans="2:7" ht="12.75">
      <c r="B41" s="49"/>
      <c r="C41" s="50"/>
      <c r="D41" s="89"/>
      <c r="E41" s="89"/>
      <c r="F41" s="89"/>
      <c r="G41" s="91"/>
    </row>
    <row r="42" spans="2:7" ht="12.75">
      <c r="B42" s="32" t="s">
        <v>36</v>
      </c>
      <c r="C42" s="33"/>
      <c r="D42" s="92">
        <v>0</v>
      </c>
      <c r="E42" s="92">
        <v>0</v>
      </c>
      <c r="F42" s="92">
        <v>0</v>
      </c>
      <c r="G42" s="93">
        <v>0</v>
      </c>
    </row>
    <row r="43" spans="4:7" ht="12.75">
      <c r="D43" s="51"/>
      <c r="E43" s="51"/>
      <c r="F43" s="51"/>
      <c r="G43" s="51"/>
    </row>
    <row r="44" spans="4:7" ht="12.75">
      <c r="D44" s="51"/>
      <c r="E44" s="51"/>
      <c r="F44" s="51"/>
      <c r="G44" s="51"/>
    </row>
    <row r="45" spans="2:7" ht="12.75">
      <c r="B45" s="99"/>
      <c r="C45" s="100"/>
      <c r="D45" s="137" t="s">
        <v>18</v>
      </c>
      <c r="E45" s="138"/>
      <c r="F45" s="137" t="s">
        <v>37</v>
      </c>
      <c r="G45" s="138"/>
    </row>
    <row r="46" spans="2:7" ht="12.75">
      <c r="B46" s="101"/>
      <c r="C46" s="102"/>
      <c r="D46" s="103"/>
      <c r="E46" s="104"/>
      <c r="F46" s="103" t="s">
        <v>20</v>
      </c>
      <c r="G46" s="104"/>
    </row>
    <row r="47" spans="2:7" ht="12.75">
      <c r="B47" s="25" t="s">
        <v>38</v>
      </c>
      <c r="C47" s="26"/>
      <c r="D47" s="133">
        <f>CBS!D56</f>
        <v>0.16</v>
      </c>
      <c r="E47" s="134"/>
      <c r="F47" s="133">
        <f>CBS!E56</f>
        <v>0.13</v>
      </c>
      <c r="G47" s="134"/>
    </row>
    <row r="48" spans="2:7" ht="12.75">
      <c r="B48" s="32" t="s">
        <v>39</v>
      </c>
      <c r="C48" s="33"/>
      <c r="D48" s="135"/>
      <c r="E48" s="136"/>
      <c r="F48" s="135"/>
      <c r="G48" s="136"/>
    </row>
    <row r="49" spans="4:7" ht="12.75">
      <c r="D49" s="51"/>
      <c r="E49" s="51"/>
      <c r="F49" s="51"/>
      <c r="G49" s="51"/>
    </row>
    <row r="50" spans="4:7" ht="12.75">
      <c r="D50" s="51"/>
      <c r="E50" s="51"/>
      <c r="F50" s="51"/>
      <c r="G50" s="51"/>
    </row>
  </sheetData>
  <mergeCells count="9">
    <mergeCell ref="B45:C46"/>
    <mergeCell ref="D45:E45"/>
    <mergeCell ref="F45:G45"/>
    <mergeCell ref="D46:E46"/>
    <mergeCell ref="F46:G46"/>
    <mergeCell ref="D47:E48"/>
    <mergeCell ref="F47:G48"/>
    <mergeCell ref="D7:E7"/>
    <mergeCell ref="F7:G7"/>
  </mergeCells>
  <printOptions/>
  <pageMargins left="0.63" right="0.53" top="1" bottom="1" header="0.5" footer="0.5"/>
  <pageSetup fitToHeight="1" fitToWidth="1" horizontalDpi="600" verticalDpi="600" orientation="portrait" paperSize="9" scale="83" r:id="rId1"/>
  <headerFooter alignWithMargins="0">
    <oddFooter>&amp;LThe condensed consolidated income statements should be read in conjunction with the audited financial statements for the year ended 31 March 2004 and the accompanying explanatory notes attached to the interim financial statements.
</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E56"/>
  <sheetViews>
    <sheetView tabSelected="1" workbookViewId="0" topLeftCell="A39">
      <selection activeCell="E31" sqref="E31"/>
    </sheetView>
  </sheetViews>
  <sheetFormatPr defaultColWidth="9.140625" defaultRowHeight="12.75"/>
  <cols>
    <col min="1" max="1" width="3.421875" style="5" customWidth="1"/>
    <col min="2" max="2" width="42.140625" style="5" customWidth="1"/>
    <col min="3" max="3" width="7.7109375" style="5" customWidth="1"/>
    <col min="4" max="4" width="17.57421875" style="5" customWidth="1"/>
    <col min="5" max="5" width="19.57421875" style="5" customWidth="1"/>
    <col min="6" max="16384" width="9.140625" style="5" customWidth="1"/>
  </cols>
  <sheetData>
    <row r="1" ht="12.75">
      <c r="B1" s="23" t="s">
        <v>124</v>
      </c>
    </row>
    <row r="2" ht="12.75">
      <c r="B2" s="4"/>
    </row>
    <row r="3" ht="12.75">
      <c r="B3" s="4" t="s">
        <v>40</v>
      </c>
    </row>
    <row r="4" ht="12.75">
      <c r="B4" s="4" t="s">
        <v>82</v>
      </c>
    </row>
    <row r="6" spans="4:5" ht="12.75">
      <c r="D6" s="6" t="s">
        <v>41</v>
      </c>
      <c r="E6" s="6" t="s">
        <v>41</v>
      </c>
    </row>
    <row r="7" spans="3:5" ht="12.75">
      <c r="C7" s="13"/>
      <c r="D7" s="6" t="s">
        <v>83</v>
      </c>
      <c r="E7" s="6" t="s">
        <v>77</v>
      </c>
    </row>
    <row r="8" spans="3:5" ht="12.75">
      <c r="C8" s="13"/>
      <c r="D8" s="6" t="s">
        <v>140</v>
      </c>
      <c r="E8" s="6" t="s">
        <v>78</v>
      </c>
    </row>
    <row r="9" spans="4:5" ht="12.75">
      <c r="D9" s="6" t="s">
        <v>9</v>
      </c>
      <c r="E9" s="6" t="s">
        <v>9</v>
      </c>
    </row>
    <row r="11" ht="12.75">
      <c r="B11" s="4"/>
    </row>
    <row r="12" spans="2:5" ht="12.75">
      <c r="B12" s="5" t="s">
        <v>42</v>
      </c>
      <c r="D12" s="5">
        <f>4302</f>
        <v>4302</v>
      </c>
      <c r="E12" s="5">
        <v>4332</v>
      </c>
    </row>
    <row r="13" spans="2:5" ht="12.75">
      <c r="B13" s="5" t="s">
        <v>90</v>
      </c>
      <c r="D13" s="5">
        <f>3147</f>
        <v>3147</v>
      </c>
      <c r="E13" s="5">
        <v>3232</v>
      </c>
    </row>
    <row r="14" spans="2:5" ht="12.75">
      <c r="B14" s="5" t="s">
        <v>91</v>
      </c>
      <c r="D14" s="5">
        <f>4068</f>
        <v>4068</v>
      </c>
      <c r="E14" s="5">
        <v>3815</v>
      </c>
    </row>
    <row r="16" ht="12.75">
      <c r="B16" s="4" t="s">
        <v>43</v>
      </c>
    </row>
    <row r="17" spans="2:5" ht="12.75">
      <c r="B17" s="5" t="s">
        <v>44</v>
      </c>
      <c r="D17" s="5">
        <f>2005</f>
        <v>2005</v>
      </c>
      <c r="E17" s="5">
        <f>3665-1892</f>
        <v>1773</v>
      </c>
    </row>
    <row r="18" spans="2:5" ht="12.75">
      <c r="B18" s="5" t="s">
        <v>45</v>
      </c>
      <c r="D18" s="5">
        <f>33610</f>
        <v>33610</v>
      </c>
      <c r="E18" s="5">
        <f>33997+6106</f>
        <v>40103</v>
      </c>
    </row>
    <row r="19" spans="2:5" ht="12.75">
      <c r="B19" s="5" t="s">
        <v>106</v>
      </c>
      <c r="D19" s="5">
        <f>20054</f>
        <v>20054</v>
      </c>
      <c r="E19" s="5">
        <v>15508</v>
      </c>
    </row>
    <row r="20" spans="4:5" ht="12.75">
      <c r="D20" s="22">
        <f>SUM(D17:D19)</f>
        <v>55669</v>
      </c>
      <c r="E20" s="22">
        <f>SUM(E17:E19)</f>
        <v>57384</v>
      </c>
    </row>
    <row r="22" ht="12.75">
      <c r="B22" s="4" t="s">
        <v>46</v>
      </c>
    </row>
    <row r="23" spans="2:5" ht="12.75">
      <c r="B23" s="5" t="s">
        <v>73</v>
      </c>
      <c r="D23" s="5">
        <f>6986+10220+15400+1</f>
        <v>32607</v>
      </c>
      <c r="E23" s="5">
        <f>39054+4214</f>
        <v>43268</v>
      </c>
    </row>
    <row r="24" spans="2:5" ht="12.75">
      <c r="B24" s="5" t="s">
        <v>30</v>
      </c>
      <c r="D24" s="5">
        <v>316</v>
      </c>
      <c r="E24" s="5">
        <v>493</v>
      </c>
    </row>
    <row r="25" spans="2:5" s="17" customFormat="1" ht="25.5">
      <c r="B25" s="17" t="s">
        <v>129</v>
      </c>
      <c r="D25" s="17">
        <v>997</v>
      </c>
      <c r="E25" s="17">
        <v>0</v>
      </c>
    </row>
    <row r="26" spans="2:5" ht="12.75">
      <c r="B26" s="5" t="s">
        <v>74</v>
      </c>
      <c r="D26" s="5">
        <f>14780*0+6621-5513</f>
        <v>1108</v>
      </c>
      <c r="E26" s="5">
        <v>4085</v>
      </c>
    </row>
    <row r="27" spans="4:5" ht="12.75">
      <c r="D27" s="22">
        <f>SUM(D23:D26)</f>
        <v>35028</v>
      </c>
      <c r="E27" s="22">
        <f>SUM(E23:E26)</f>
        <v>47846</v>
      </c>
    </row>
    <row r="29" spans="2:5" ht="12.75">
      <c r="B29" s="4" t="s">
        <v>47</v>
      </c>
      <c r="D29" s="5">
        <f>D20-D27</f>
        <v>20641</v>
      </c>
      <c r="E29" s="5">
        <f>E20-E27</f>
        <v>9538</v>
      </c>
    </row>
    <row r="31" spans="4:5" ht="13.5" thickBot="1">
      <c r="D31" s="20">
        <f>D29+SUM(D12:D14)</f>
        <v>32158</v>
      </c>
      <c r="E31" s="20">
        <f>E29+SUM(E12:E14)</f>
        <v>20917</v>
      </c>
    </row>
    <row r="32" ht="13.5" thickTop="1"/>
    <row r="33" ht="12.75">
      <c r="B33" s="4" t="s">
        <v>102</v>
      </c>
    </row>
    <row r="34" spans="2:5" ht="12.75">
      <c r="B34" s="5" t="s">
        <v>48</v>
      </c>
      <c r="D34" s="5">
        <v>64061</v>
      </c>
      <c r="E34" s="5">
        <v>64007</v>
      </c>
    </row>
    <row r="35" spans="2:5" ht="12.75">
      <c r="B35" s="5" t="s">
        <v>49</v>
      </c>
      <c r="D35" s="5">
        <f>11623</f>
        <v>11623</v>
      </c>
      <c r="E35" s="5">
        <f>11601</f>
        <v>11601</v>
      </c>
    </row>
    <row r="36" spans="2:5" ht="12.75">
      <c r="B36" s="5" t="s">
        <v>51</v>
      </c>
      <c r="D36" s="5">
        <v>-13509</v>
      </c>
      <c r="E36" s="5">
        <v>-13509</v>
      </c>
    </row>
    <row r="37" spans="2:5" ht="12.75">
      <c r="B37" s="5" t="s">
        <v>70</v>
      </c>
      <c r="D37" s="5">
        <f>3030</f>
        <v>3030</v>
      </c>
      <c r="E37" s="5">
        <f>3030</f>
        <v>3030</v>
      </c>
    </row>
    <row r="38" spans="2:5" ht="12.75">
      <c r="B38" s="5" t="s">
        <v>92</v>
      </c>
      <c r="D38" s="5">
        <f>51</f>
        <v>51</v>
      </c>
      <c r="E38" s="5">
        <f>51</f>
        <v>51</v>
      </c>
    </row>
    <row r="39" spans="2:5" s="17" customFormat="1" ht="12.75">
      <c r="B39" s="17" t="s">
        <v>130</v>
      </c>
      <c r="D39" s="17">
        <v>44738</v>
      </c>
      <c r="E39" s="17">
        <v>44814</v>
      </c>
    </row>
    <row r="40" spans="2:5" ht="12.75">
      <c r="B40" s="5" t="s">
        <v>93</v>
      </c>
      <c r="D40" s="14">
        <f>-96546</f>
        <v>-96546</v>
      </c>
      <c r="E40" s="14">
        <v>-98235</v>
      </c>
    </row>
    <row r="42" spans="2:5" s="4" customFormat="1" ht="12.75">
      <c r="B42" s="4" t="s">
        <v>52</v>
      </c>
      <c r="D42" s="4">
        <f>SUM(D34:D40)</f>
        <v>13448</v>
      </c>
      <c r="E42" s="4">
        <f>SUM(E34:E40)</f>
        <v>11759</v>
      </c>
    </row>
    <row r="44" spans="2:5" s="4" customFormat="1" ht="12.75">
      <c r="B44" s="4" t="s">
        <v>53</v>
      </c>
      <c r="D44" s="4">
        <v>1120</v>
      </c>
      <c r="E44" s="4">
        <v>280</v>
      </c>
    </row>
    <row r="46" ht="12.75">
      <c r="B46" s="4" t="s">
        <v>54</v>
      </c>
    </row>
    <row r="47" spans="2:5" ht="12.75">
      <c r="B47" s="95" t="s">
        <v>125</v>
      </c>
      <c r="D47" s="5">
        <f>7162+5513</f>
        <v>12675</v>
      </c>
      <c r="E47" s="5">
        <v>0</v>
      </c>
    </row>
    <row r="48" spans="2:5" ht="12.75">
      <c r="B48" s="8" t="s">
        <v>131</v>
      </c>
      <c r="D48" s="5">
        <v>2915</v>
      </c>
      <c r="E48" s="5">
        <v>4778</v>
      </c>
    </row>
    <row r="49" spans="2:5" ht="12.75">
      <c r="B49" s="5" t="s">
        <v>94</v>
      </c>
      <c r="D49" s="5">
        <f>2000</f>
        <v>2000</v>
      </c>
      <c r="E49" s="5">
        <v>4100</v>
      </c>
    </row>
    <row r="50" spans="4:5" s="4" customFormat="1" ht="13.5" thickBot="1">
      <c r="D50" s="20">
        <f>SUM(D41:D49)</f>
        <v>32158</v>
      </c>
      <c r="E50" s="20">
        <f>SUM(E41:E49)</f>
        <v>20917</v>
      </c>
    </row>
    <row r="51" ht="13.5" thickTop="1"/>
    <row r="53" spans="4:5" ht="12.75">
      <c r="D53" s="6" t="s">
        <v>84</v>
      </c>
      <c r="E53" s="6" t="s">
        <v>55</v>
      </c>
    </row>
    <row r="54" spans="4:5" ht="12.75">
      <c r="D54" s="6" t="s">
        <v>85</v>
      </c>
      <c r="E54" s="6" t="s">
        <v>56</v>
      </c>
    </row>
    <row r="56" spans="2:5" ht="13.5" thickBot="1">
      <c r="B56" s="5" t="s">
        <v>57</v>
      </c>
      <c r="D56" s="94">
        <f>ROUND((D42-D13)/D34,2)</f>
        <v>0.16</v>
      </c>
      <c r="E56" s="94">
        <f>ROUND((E42-E13)/E34,2)</f>
        <v>0.13</v>
      </c>
    </row>
  </sheetData>
  <printOptions/>
  <pageMargins left="0.62" right="0.6" top="0.76" bottom="1" header="0.5" footer="0.5"/>
  <pageSetup fitToHeight="1" fitToWidth="1" horizontalDpi="600" verticalDpi="600" orientation="portrait" paperSize="9" scale="97" r:id="rId1"/>
  <headerFooter alignWithMargins="0">
    <oddFooter>&amp;LThe condensed consolidated balance sheet should be read in conjunction with the audited financial statements for the year ended 31 March 2004 and the accompanying explanatory notes attached to the interim financial statements.</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3"/>
  <sheetViews>
    <sheetView workbookViewId="0" topLeftCell="A1">
      <selection activeCell="B4" sqref="B4"/>
    </sheetView>
  </sheetViews>
  <sheetFormatPr defaultColWidth="9.140625" defaultRowHeight="12.75"/>
  <cols>
    <col min="1" max="1" width="47.140625" style="5" customWidth="1"/>
    <col min="2" max="2" width="10.421875" style="5" customWidth="1"/>
    <col min="3" max="4" width="16.7109375" style="5" customWidth="1"/>
    <col min="5" max="6" width="16.28125" style="5" customWidth="1"/>
    <col min="7" max="7" width="22.00390625" style="5" customWidth="1"/>
    <col min="8" max="8" width="15.8515625" style="5" customWidth="1"/>
    <col min="9" max="9" width="14.140625" style="4" customWidth="1"/>
    <col min="10" max="10" width="11.421875" style="5" customWidth="1"/>
    <col min="11" max="16384" width="9.140625" style="5" customWidth="1"/>
  </cols>
  <sheetData>
    <row r="1" spans="1:2" ht="12.75">
      <c r="A1" s="23" t="s">
        <v>124</v>
      </c>
      <c r="B1" s="4"/>
    </row>
    <row r="3" spans="1:2" ht="12.75">
      <c r="A3" s="4" t="s">
        <v>66</v>
      </c>
      <c r="B3" s="4"/>
    </row>
    <row r="4" spans="1:2" ht="12.75">
      <c r="A4" s="68" t="s">
        <v>136</v>
      </c>
      <c r="B4" s="4"/>
    </row>
    <row r="5" spans="1:2" ht="12.75">
      <c r="A5" s="4"/>
      <c r="B5" s="4"/>
    </row>
    <row r="6" spans="4:9" s="4" customFormat="1" ht="12.75">
      <c r="D6" s="105" t="s">
        <v>50</v>
      </c>
      <c r="E6" s="105"/>
      <c r="F6" s="105"/>
      <c r="G6" s="105"/>
      <c r="H6" s="105"/>
      <c r="I6" s="105"/>
    </row>
    <row r="7" spans="3:9" s="4" customFormat="1" ht="12.75">
      <c r="C7" s="6"/>
      <c r="D7" s="106" t="s">
        <v>72</v>
      </c>
      <c r="E7" s="106"/>
      <c r="F7" s="106"/>
      <c r="G7" s="106"/>
      <c r="H7" s="107"/>
      <c r="I7" s="7" t="s">
        <v>71</v>
      </c>
    </row>
    <row r="8" spans="3:9" s="4" customFormat="1" ht="12.75">
      <c r="C8" s="6"/>
      <c r="D8" s="6"/>
      <c r="G8" s="6"/>
      <c r="H8" s="6"/>
      <c r="I8" s="6"/>
    </row>
    <row r="9" spans="2:10" s="9" customFormat="1" ht="38.25">
      <c r="B9" s="10"/>
      <c r="C9" s="10" t="s">
        <v>67</v>
      </c>
      <c r="D9" s="10" t="s">
        <v>49</v>
      </c>
      <c r="E9" s="10" t="s">
        <v>51</v>
      </c>
      <c r="F9" s="10" t="s">
        <v>70</v>
      </c>
      <c r="G9" s="10" t="s">
        <v>92</v>
      </c>
      <c r="H9" s="10" t="s">
        <v>101</v>
      </c>
      <c r="I9" s="10" t="s">
        <v>69</v>
      </c>
      <c r="J9" s="10" t="s">
        <v>68</v>
      </c>
    </row>
    <row r="10" spans="3:10" s="4" customFormat="1" ht="12.75">
      <c r="C10" s="6" t="s">
        <v>9</v>
      </c>
      <c r="D10" s="6" t="s">
        <v>9</v>
      </c>
      <c r="E10" s="6" t="s">
        <v>9</v>
      </c>
      <c r="F10" s="6" t="s">
        <v>9</v>
      </c>
      <c r="G10" s="6"/>
      <c r="H10" s="6" t="s">
        <v>9</v>
      </c>
      <c r="I10" s="6" t="s">
        <v>9</v>
      </c>
      <c r="J10" s="6" t="s">
        <v>9</v>
      </c>
    </row>
    <row r="12" spans="1:10" s="4" customFormat="1" ht="12.75">
      <c r="A12" s="4" t="s">
        <v>99</v>
      </c>
      <c r="C12" s="4">
        <v>64007</v>
      </c>
      <c r="D12" s="4">
        <v>11601</v>
      </c>
      <c r="E12" s="4">
        <v>-13509</v>
      </c>
      <c r="F12" s="4">
        <v>3030</v>
      </c>
      <c r="G12" s="4">
        <v>51</v>
      </c>
      <c r="H12" s="4">
        <v>44814</v>
      </c>
      <c r="I12" s="4">
        <f>-98235</f>
        <v>-98235</v>
      </c>
      <c r="J12" s="4">
        <f>SUM(C12:I12)</f>
        <v>11759</v>
      </c>
    </row>
    <row r="14" spans="1:10" ht="12.75">
      <c r="A14" s="5" t="s">
        <v>86</v>
      </c>
      <c r="C14" s="12">
        <v>0</v>
      </c>
      <c r="D14" s="12">
        <v>0</v>
      </c>
      <c r="E14" s="12">
        <v>0</v>
      </c>
      <c r="F14" s="12">
        <v>0</v>
      </c>
      <c r="G14" s="12">
        <v>0</v>
      </c>
      <c r="H14" s="12">
        <v>0</v>
      </c>
      <c r="I14" s="4">
        <f>1689</f>
        <v>1689</v>
      </c>
      <c r="J14" s="4">
        <f>SUM(C14:I14)</f>
        <v>1689</v>
      </c>
    </row>
    <row r="15" spans="3:8" ht="12.75">
      <c r="C15" s="12"/>
      <c r="D15" s="12"/>
      <c r="E15" s="12"/>
      <c r="F15" s="12"/>
      <c r="G15" s="12"/>
      <c r="H15" s="12"/>
    </row>
    <row r="16" spans="1:10" ht="25.5">
      <c r="A16" s="17" t="s">
        <v>98</v>
      </c>
      <c r="C16" s="12">
        <f>54</f>
        <v>54</v>
      </c>
      <c r="D16" s="12">
        <f>22</f>
        <v>22</v>
      </c>
      <c r="E16" s="12">
        <v>0</v>
      </c>
      <c r="F16" s="12">
        <v>0</v>
      </c>
      <c r="G16" s="12">
        <v>0</v>
      </c>
      <c r="H16" s="5">
        <v>-76</v>
      </c>
      <c r="I16" s="4">
        <v>0</v>
      </c>
      <c r="J16" s="5">
        <f>SUM(C16:I16)</f>
        <v>0</v>
      </c>
    </row>
    <row r="17" spans="3:8" ht="12.75">
      <c r="C17" s="12"/>
      <c r="D17" s="12"/>
      <c r="E17" s="12"/>
      <c r="F17" s="12"/>
      <c r="G17" s="12"/>
      <c r="H17" s="12"/>
    </row>
    <row r="18" spans="1:10" s="4" customFormat="1" ht="13.5" thickBot="1">
      <c r="A18" s="4" t="s">
        <v>100</v>
      </c>
      <c r="C18" s="20">
        <f aca="true" t="shared" si="0" ref="C18:J18">SUM(C11:C17)</f>
        <v>64061</v>
      </c>
      <c r="D18" s="20">
        <f t="shared" si="0"/>
        <v>11623</v>
      </c>
      <c r="E18" s="20">
        <f t="shared" si="0"/>
        <v>-13509</v>
      </c>
      <c r="F18" s="20">
        <f t="shared" si="0"/>
        <v>3030</v>
      </c>
      <c r="G18" s="20">
        <f t="shared" si="0"/>
        <v>51</v>
      </c>
      <c r="H18" s="20">
        <f t="shared" si="0"/>
        <v>44738</v>
      </c>
      <c r="I18" s="20">
        <f t="shared" si="0"/>
        <v>-96546</v>
      </c>
      <c r="J18" s="20">
        <f t="shared" si="0"/>
        <v>13448</v>
      </c>
    </row>
    <row r="19" ht="13.5" thickTop="1"/>
    <row r="20" spans="1:10" ht="12.75">
      <c r="A20" s="11"/>
      <c r="B20" s="11"/>
      <c r="I20" s="5"/>
      <c r="J20" s="4"/>
    </row>
    <row r="21" spans="1:10" ht="12.75">
      <c r="A21" s="4" t="s">
        <v>95</v>
      </c>
      <c r="I21" s="5"/>
      <c r="J21" s="4"/>
    </row>
    <row r="22" spans="1:10" ht="12.75" hidden="1">
      <c r="A22" s="5" t="s">
        <v>96</v>
      </c>
      <c r="C22" s="5">
        <v>61540</v>
      </c>
      <c r="D22" s="5">
        <v>11543</v>
      </c>
      <c r="E22" s="5">
        <v>-13509</v>
      </c>
      <c r="F22" s="5">
        <v>3030</v>
      </c>
      <c r="G22" s="12">
        <v>0</v>
      </c>
      <c r="H22" s="5">
        <v>48320</v>
      </c>
      <c r="I22" s="5">
        <v>-65541</v>
      </c>
      <c r="J22" s="4">
        <f>SUM(C22:I22)</f>
        <v>45383</v>
      </c>
    </row>
    <row r="23" spans="7:10" ht="12.75" hidden="1">
      <c r="G23" s="12"/>
      <c r="I23" s="5"/>
      <c r="J23" s="4"/>
    </row>
    <row r="24" spans="1:10" ht="12.75" hidden="1">
      <c r="A24" s="5" t="s">
        <v>97</v>
      </c>
      <c r="B24" s="13"/>
      <c r="C24" s="12">
        <v>0</v>
      </c>
      <c r="D24" s="5">
        <v>-858</v>
      </c>
      <c r="E24" s="12">
        <v>0</v>
      </c>
      <c r="F24" s="12">
        <v>0</v>
      </c>
      <c r="G24" s="12">
        <v>0</v>
      </c>
      <c r="H24" s="12">
        <v>-250</v>
      </c>
      <c r="I24" s="5">
        <f>6683</f>
        <v>6683</v>
      </c>
      <c r="J24" s="4">
        <f>SUM(C24:I24)</f>
        <v>5575</v>
      </c>
    </row>
    <row r="25" spans="3:10" ht="12.75" hidden="1">
      <c r="C25" s="14"/>
      <c r="D25" s="14"/>
      <c r="E25" s="14"/>
      <c r="F25" s="14"/>
      <c r="G25" s="15"/>
      <c r="H25" s="14"/>
      <c r="I25" s="14"/>
      <c r="J25" s="16"/>
    </row>
    <row r="26" spans="1:10" s="4" customFormat="1" ht="12.75">
      <c r="A26" s="4" t="s">
        <v>75</v>
      </c>
      <c r="C26" s="4">
        <f aca="true" t="shared" si="1" ref="C26:J26">SUM(C20:C25)</f>
        <v>61540</v>
      </c>
      <c r="D26" s="4">
        <f t="shared" si="1"/>
        <v>10685</v>
      </c>
      <c r="E26" s="4">
        <f t="shared" si="1"/>
        <v>-13509</v>
      </c>
      <c r="F26" s="4">
        <f t="shared" si="1"/>
        <v>3030</v>
      </c>
      <c r="G26" s="96">
        <f t="shared" si="1"/>
        <v>0</v>
      </c>
      <c r="H26" s="4">
        <f>SUM(H20:H25)</f>
        <v>48070</v>
      </c>
      <c r="I26" s="4">
        <f t="shared" si="1"/>
        <v>-58858</v>
      </c>
      <c r="J26" s="4">
        <f t="shared" si="1"/>
        <v>50958</v>
      </c>
    </row>
    <row r="27" spans="7:10" ht="12.75">
      <c r="G27" s="12"/>
      <c r="I27" s="5"/>
      <c r="J27" s="4"/>
    </row>
    <row r="28" spans="1:10" ht="12.75">
      <c r="A28" s="5" t="s">
        <v>88</v>
      </c>
      <c r="C28" s="12">
        <v>0</v>
      </c>
      <c r="D28" s="12">
        <v>0</v>
      </c>
      <c r="E28" s="12">
        <v>0</v>
      </c>
      <c r="F28" s="12">
        <v>0</v>
      </c>
      <c r="G28" s="12">
        <v>0</v>
      </c>
      <c r="H28" s="12">
        <v>0</v>
      </c>
      <c r="I28" s="5">
        <v>-11267</v>
      </c>
      <c r="J28" s="4">
        <f>SUM(C28:I28)</f>
        <v>-11267</v>
      </c>
    </row>
    <row r="29" spans="4:10" ht="12.75">
      <c r="D29" s="12"/>
      <c r="E29" s="12"/>
      <c r="F29" s="12"/>
      <c r="G29" s="12"/>
      <c r="H29" s="12"/>
      <c r="I29" s="5"/>
      <c r="J29" s="4"/>
    </row>
    <row r="30" spans="1:10" s="17" customFormat="1" ht="25.5">
      <c r="A30" s="17" t="s">
        <v>98</v>
      </c>
      <c r="C30" s="18">
        <f>2376</f>
        <v>2376</v>
      </c>
      <c r="D30" s="18">
        <f>865</f>
        <v>865</v>
      </c>
      <c r="E30" s="18">
        <v>0</v>
      </c>
      <c r="F30" s="18">
        <v>0</v>
      </c>
      <c r="G30" s="18">
        <v>0</v>
      </c>
      <c r="H30" s="17">
        <v>-3241</v>
      </c>
      <c r="I30" s="18">
        <v>0</v>
      </c>
      <c r="J30" s="19">
        <f>SUM(C30:I30)</f>
        <v>0</v>
      </c>
    </row>
    <row r="31" spans="7:10" ht="12.75">
      <c r="G31" s="12"/>
      <c r="I31" s="5"/>
      <c r="J31" s="4"/>
    </row>
    <row r="32" spans="1:10" s="4" customFormat="1" ht="13.5" thickBot="1">
      <c r="A32" s="4" t="s">
        <v>87</v>
      </c>
      <c r="C32" s="20">
        <f aca="true" t="shared" si="2" ref="C32:J32">SUM(C26:C31)</f>
        <v>63916</v>
      </c>
      <c r="D32" s="20">
        <f t="shared" si="2"/>
        <v>11550</v>
      </c>
      <c r="E32" s="20">
        <f t="shared" si="2"/>
        <v>-13509</v>
      </c>
      <c r="F32" s="20">
        <f t="shared" si="2"/>
        <v>3030</v>
      </c>
      <c r="G32" s="21">
        <f t="shared" si="2"/>
        <v>0</v>
      </c>
      <c r="H32" s="20">
        <f>SUM(H26:H31)</f>
        <v>44829</v>
      </c>
      <c r="I32" s="20">
        <f t="shared" si="2"/>
        <v>-70125</v>
      </c>
      <c r="J32" s="20">
        <f t="shared" si="2"/>
        <v>39691</v>
      </c>
    </row>
    <row r="33" ht="13.5" thickTop="1">
      <c r="G33" s="12"/>
    </row>
  </sheetData>
  <mergeCells count="2">
    <mergeCell ref="D6:I6"/>
    <mergeCell ref="D7:H7"/>
  </mergeCells>
  <printOptions/>
  <pageMargins left="0.5" right="0.5" top="0.25" bottom="1" header="0.5" footer="0.59"/>
  <pageSetup fitToHeight="1" fitToWidth="1" horizontalDpi="600" verticalDpi="600" orientation="landscape" paperSize="9" scale="74" r:id="rId2"/>
  <headerFooter alignWithMargins="0">
    <oddFooter>&amp;LThe condensed consolidated statement of changes in equity should be read in conjunction with the audited financial statements for the year ended 31 March 2004 and the accompanying explanatory notes attached to the interim financial statements.</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F58"/>
  <sheetViews>
    <sheetView workbookViewId="0" topLeftCell="A1">
      <selection activeCell="B9" sqref="B9"/>
    </sheetView>
  </sheetViews>
  <sheetFormatPr defaultColWidth="9.140625" defaultRowHeight="12.75"/>
  <cols>
    <col min="1" max="1" width="4.140625" style="2" customWidth="1"/>
    <col min="2" max="2" width="56.140625" style="2" customWidth="1"/>
    <col min="3" max="3" width="6.28125" style="2" customWidth="1"/>
    <col min="4" max="4" width="15.8515625" style="2" customWidth="1"/>
    <col min="5" max="5" width="2.57421875" style="53" customWidth="1"/>
    <col min="6" max="6" width="17.00390625" style="2" customWidth="1"/>
    <col min="7" max="16384" width="9.140625" style="2" customWidth="1"/>
  </cols>
  <sheetData>
    <row r="1" ht="12.75">
      <c r="B1" s="23" t="s">
        <v>124</v>
      </c>
    </row>
    <row r="2" ht="12.75">
      <c r="B2" s="52"/>
    </row>
    <row r="3" ht="12.75">
      <c r="B3" s="52" t="s">
        <v>58</v>
      </c>
    </row>
    <row r="4" ht="12.75">
      <c r="B4" s="68" t="s">
        <v>137</v>
      </c>
    </row>
    <row r="6" spans="4:6" ht="12.75">
      <c r="D6" s="108" t="s">
        <v>138</v>
      </c>
      <c r="E6" s="108"/>
      <c r="F6" s="108"/>
    </row>
    <row r="7" spans="4:6" ht="12.75">
      <c r="D7" s="54" t="s">
        <v>108</v>
      </c>
      <c r="F7" s="54" t="s">
        <v>107</v>
      </c>
    </row>
    <row r="8" spans="4:6" ht="12.75">
      <c r="D8" s="54" t="s">
        <v>9</v>
      </c>
      <c r="E8" s="55"/>
      <c r="F8" s="54" t="s">
        <v>9</v>
      </c>
    </row>
    <row r="9" ht="12.75">
      <c r="B9" s="52" t="s">
        <v>111</v>
      </c>
    </row>
    <row r="11" spans="2:6" ht="12.75">
      <c r="B11" s="52" t="s">
        <v>79</v>
      </c>
      <c r="C11" s="52"/>
      <c r="D11" s="52">
        <f>1118</f>
        <v>1118</v>
      </c>
      <c r="E11" s="63"/>
      <c r="F11" s="52">
        <v>-10633</v>
      </c>
    </row>
    <row r="13" ht="12.75">
      <c r="B13" s="52" t="s">
        <v>112</v>
      </c>
    </row>
    <row r="14" spans="2:6" ht="12.75">
      <c r="B14" s="2" t="s">
        <v>59</v>
      </c>
      <c r="D14" s="2">
        <f>982-5+26-2635+85+1*0+8</f>
        <v>-1539</v>
      </c>
      <c r="F14" s="2">
        <f>6344</f>
        <v>6344</v>
      </c>
    </row>
    <row r="15" spans="2:6" ht="12.75">
      <c r="B15" s="2" t="s">
        <v>60</v>
      </c>
      <c r="D15" s="2">
        <f>837-147</f>
        <v>690</v>
      </c>
      <c r="F15" s="2">
        <f>404-238</f>
        <v>166</v>
      </c>
    </row>
    <row r="16" spans="4:6" ht="12.75">
      <c r="D16" s="56"/>
      <c r="F16" s="56"/>
    </row>
    <row r="17" spans="2:6" s="52" customFormat="1" ht="12.75">
      <c r="B17" s="52" t="s">
        <v>139</v>
      </c>
      <c r="D17" s="52">
        <f>SUM(D11:D16)</f>
        <v>269</v>
      </c>
      <c r="E17" s="63"/>
      <c r="F17" s="52">
        <f>SUM(F11:F16)</f>
        <v>-4123</v>
      </c>
    </row>
    <row r="19" spans="2:6" ht="12.75">
      <c r="B19" s="52" t="s">
        <v>61</v>
      </c>
      <c r="D19" s="2">
        <f>-269-504</f>
        <v>-773</v>
      </c>
      <c r="F19" s="2">
        <f>-5538+4123</f>
        <v>-1415</v>
      </c>
    </row>
    <row r="20" spans="4:6" ht="12.75">
      <c r="D20" s="56"/>
      <c r="F20" s="56"/>
    </row>
    <row r="21" spans="2:6" ht="12.75">
      <c r="B21" s="52" t="s">
        <v>141</v>
      </c>
      <c r="C21" s="52"/>
      <c r="D21" s="63">
        <f>SUM(D17:D20)</f>
        <v>-504</v>
      </c>
      <c r="E21" s="63"/>
      <c r="F21" s="63">
        <f>SUM(F17:F20)</f>
        <v>-5538</v>
      </c>
    </row>
    <row r="22" ht="12.75">
      <c r="F22" s="53"/>
    </row>
    <row r="23" spans="2:6" ht="12.75">
      <c r="B23" s="2" t="s">
        <v>62</v>
      </c>
      <c r="D23" s="2">
        <f>-53-208</f>
        <v>-261</v>
      </c>
      <c r="F23" s="53">
        <v>-624</v>
      </c>
    </row>
    <row r="24" spans="2:6" ht="12.75">
      <c r="B24" s="2" t="s">
        <v>63</v>
      </c>
      <c r="D24" s="2">
        <v>-1875</v>
      </c>
      <c r="F24" s="53">
        <f>-2278+1715</f>
        <v>-563</v>
      </c>
    </row>
    <row r="25" spans="2:6" ht="12.75">
      <c r="B25" s="2" t="s">
        <v>64</v>
      </c>
      <c r="D25" s="2">
        <f>147</f>
        <v>147</v>
      </c>
      <c r="F25" s="53">
        <f>238</f>
        <v>238</v>
      </c>
    </row>
    <row r="26" ht="12.75">
      <c r="F26" s="53"/>
    </row>
    <row r="27" spans="2:6" ht="12.75">
      <c r="B27" s="52" t="s">
        <v>126</v>
      </c>
      <c r="D27" s="64">
        <f>SUM(D21:D26)</f>
        <v>-2493</v>
      </c>
      <c r="E27" s="63"/>
      <c r="F27" s="64">
        <f>SUM(F21:F26)</f>
        <v>-6487</v>
      </c>
    </row>
    <row r="30" spans="2:6" s="57" customFormat="1" ht="12.75">
      <c r="B30" s="60" t="s">
        <v>127</v>
      </c>
      <c r="D30" s="65">
        <f>-958+5</f>
        <v>-953</v>
      </c>
      <c r="E30" s="66"/>
      <c r="F30" s="65">
        <v>-212</v>
      </c>
    </row>
    <row r="32" ht="12.75">
      <c r="B32" s="52" t="s">
        <v>113</v>
      </c>
    </row>
    <row r="33" spans="2:6" ht="12.75">
      <c r="B33" s="61"/>
      <c r="F33" s="53"/>
    </row>
    <row r="34" spans="2:6" ht="12.75">
      <c r="B34" s="2" t="s">
        <v>114</v>
      </c>
      <c r="D34" s="2">
        <v>0</v>
      </c>
      <c r="F34" s="53">
        <f>47</f>
        <v>47</v>
      </c>
    </row>
    <row r="35" spans="2:6" ht="12.75">
      <c r="B35" s="2" t="s">
        <v>120</v>
      </c>
      <c r="D35" s="2">
        <f>18689</f>
        <v>18689</v>
      </c>
      <c r="F35" s="53">
        <v>971</v>
      </c>
    </row>
    <row r="36" spans="2:6" ht="12.75">
      <c r="B36" s="2" t="s">
        <v>121</v>
      </c>
      <c r="D36" s="2">
        <v>-9377</v>
      </c>
      <c r="F36" s="53">
        <v>0</v>
      </c>
    </row>
    <row r="37" spans="2:6" ht="12.75">
      <c r="B37" s="2" t="s">
        <v>122</v>
      </c>
      <c r="D37" s="2">
        <f>-861*0-1707</f>
        <v>-1707</v>
      </c>
      <c r="F37" s="97">
        <f>-707*0-1715</f>
        <v>-1715</v>
      </c>
    </row>
    <row r="38" spans="2:6" ht="12.75">
      <c r="B38" s="61" t="s">
        <v>128</v>
      </c>
      <c r="D38" s="2">
        <v>-1719</v>
      </c>
      <c r="F38" s="53">
        <v>-1235</v>
      </c>
    </row>
    <row r="39" spans="2:6" s="52" customFormat="1" ht="12.75">
      <c r="B39" s="52" t="s">
        <v>134</v>
      </c>
      <c r="D39" s="64">
        <f>SUM(D34:D38)</f>
        <v>5886</v>
      </c>
      <c r="E39" s="63"/>
      <c r="F39" s="64">
        <f>SUM(F34:F38)</f>
        <v>-1932</v>
      </c>
    </row>
    <row r="40" spans="2:6" ht="12.75">
      <c r="B40" s="61"/>
      <c r="F40" s="53"/>
    </row>
    <row r="41" spans="2:6" s="52" customFormat="1" ht="12.75">
      <c r="B41" s="52" t="s">
        <v>115</v>
      </c>
      <c r="D41" s="52">
        <f>D39+D30+D27</f>
        <v>2440</v>
      </c>
      <c r="E41" s="63"/>
      <c r="F41" s="52">
        <f>F39+F30+F27</f>
        <v>-8631</v>
      </c>
    </row>
    <row r="42" s="52" customFormat="1" ht="12.75">
      <c r="E42" s="63"/>
    </row>
    <row r="43" spans="2:6" s="52" customFormat="1" ht="12.75">
      <c r="B43" s="52" t="s">
        <v>116</v>
      </c>
      <c r="D43" s="52">
        <v>7024</v>
      </c>
      <c r="E43" s="63"/>
      <c r="F43" s="52">
        <v>19954</v>
      </c>
    </row>
    <row r="44" s="52" customFormat="1" ht="12.75">
      <c r="E44" s="63"/>
    </row>
    <row r="45" spans="2:6" s="52" customFormat="1" ht="13.5" thickBot="1">
      <c r="B45" s="52" t="s">
        <v>117</v>
      </c>
      <c r="D45" s="62">
        <f>D41+D43</f>
        <v>9464</v>
      </c>
      <c r="E45" s="63"/>
      <c r="F45" s="62">
        <f>F41+F43</f>
        <v>11323</v>
      </c>
    </row>
    <row r="46" ht="13.5" thickTop="1"/>
    <row r="48" ht="12.75">
      <c r="B48" s="1" t="s">
        <v>123</v>
      </c>
    </row>
    <row r="49" ht="12.75">
      <c r="B49" s="67"/>
    </row>
    <row r="50" spans="4:6" ht="12.75">
      <c r="D50" s="54" t="s">
        <v>109</v>
      </c>
      <c r="E50" s="55"/>
      <c r="F50" s="54" t="s">
        <v>110</v>
      </c>
    </row>
    <row r="51" spans="4:6" ht="12.75">
      <c r="D51" s="54" t="s">
        <v>9</v>
      </c>
      <c r="E51" s="55"/>
      <c r="F51" s="54" t="s">
        <v>9</v>
      </c>
    </row>
    <row r="52" spans="2:6" ht="12.75">
      <c r="B52" s="2" t="s">
        <v>133</v>
      </c>
      <c r="D52" s="2">
        <f>15195</f>
        <v>15195</v>
      </c>
      <c r="F52" s="2">
        <f>8704</f>
        <v>8704</v>
      </c>
    </row>
    <row r="53" spans="2:6" ht="12.75">
      <c r="B53" s="2" t="s">
        <v>65</v>
      </c>
      <c r="D53" s="2">
        <f>4859</f>
        <v>4859</v>
      </c>
      <c r="F53" s="2">
        <f>10827</f>
        <v>10827</v>
      </c>
    </row>
    <row r="54" spans="4:6" ht="12.75">
      <c r="D54" s="56"/>
      <c r="F54" s="56"/>
    </row>
    <row r="55" spans="2:6" s="52" customFormat="1" ht="12.75">
      <c r="B55" s="52" t="s">
        <v>135</v>
      </c>
      <c r="D55" s="52">
        <f>SUM(D52:D54)</f>
        <v>20054</v>
      </c>
      <c r="E55" s="63"/>
      <c r="F55" s="52">
        <f>SUM(F52:F54)</f>
        <v>19531</v>
      </c>
    </row>
    <row r="56" spans="2:6" ht="12.75">
      <c r="B56" s="2" t="s">
        <v>118</v>
      </c>
      <c r="D56" s="2">
        <f>-10176-1</f>
        <v>-10177</v>
      </c>
      <c r="F56" s="2">
        <v>-7386</v>
      </c>
    </row>
    <row r="57" spans="2:6" ht="12.75">
      <c r="B57" s="2" t="s">
        <v>119</v>
      </c>
      <c r="D57" s="2">
        <v>-413</v>
      </c>
      <c r="F57" s="2">
        <v>-822</v>
      </c>
    </row>
    <row r="58" spans="4:6" s="52" customFormat="1" ht="13.5" thickBot="1">
      <c r="D58" s="62">
        <f>SUM(D55:D57)</f>
        <v>9464</v>
      </c>
      <c r="E58" s="63"/>
      <c r="F58" s="62">
        <f>SUM(F55:F57)</f>
        <v>11323</v>
      </c>
    </row>
    <row r="59" ht="13.5" thickTop="1"/>
  </sheetData>
  <mergeCells count="1">
    <mergeCell ref="D6:F6"/>
  </mergeCells>
  <printOptions/>
  <pageMargins left="0.75" right="0.75" top="0.75" bottom="1" header="0.5" footer="0.5"/>
  <pageSetup fitToHeight="1" fitToWidth="1" horizontalDpi="600" verticalDpi="600" orientation="portrait" paperSize="9" scale="85" r:id="rId1"/>
  <headerFooter alignWithMargins="0">
    <oddFooter>&amp;LThe condensed consolidated cash flow statement should be read in conjunction with the audited financial statements for the year ended 31 March 2004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MSN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 GAMES</dc:creator>
  <cp:keywords/>
  <dc:description/>
  <cp:lastModifiedBy>Dataprep Holdings Bhd</cp:lastModifiedBy>
  <cp:lastPrinted>2004-11-29T06:20:17Z</cp:lastPrinted>
  <dcterms:created xsi:type="dcterms:W3CDTF">2003-02-27T03:53:09Z</dcterms:created>
  <dcterms:modified xsi:type="dcterms:W3CDTF">2004-11-27T17:27:19Z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1108086421</vt:i4>
  </property>
  <property fmtid="{D5CDD505-2E9C-101B-9397-08002B2CF9AE}" pid="3" name="_EmailSubject">
    <vt:lpwstr>REVISED 4TH QTR RESULTS</vt:lpwstr>
  </property>
  <property fmtid="{D5CDD505-2E9C-101B-9397-08002B2CF9AE}" pid="4" name="_AuthorEmail">
    <vt:lpwstr>cmtan.dataprep@io2io.com</vt:lpwstr>
  </property>
  <property fmtid="{D5CDD505-2E9C-101B-9397-08002B2CF9AE}" pid="5" name="_AuthorEmailDisplayName">
    <vt:lpwstr>Tan Chee Meng</vt:lpwstr>
  </property>
  <property fmtid="{D5CDD505-2E9C-101B-9397-08002B2CF9AE}" pid="6" name="_PreviousAdHocReviewCycleID">
    <vt:i4>-111207115</vt:i4>
  </property>
  <property fmtid="{D5CDD505-2E9C-101B-9397-08002B2CF9AE}" pid="7" name="_ReviewingToolsShownOnce">
    <vt:lpwstr/>
  </property>
</Properties>
</file>